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14EDBCB5-2181-4971-87EC-85932E078C60}" xr6:coauthVersionLast="45" xr6:coauthVersionMax="45" xr10:uidLastSave="{00000000-0000-0000-0000-000000000000}"/>
  <bookViews>
    <workbookView xWindow="-108" yWindow="-108" windowWidth="23256" windowHeight="12576" tabRatio="917" activeTab="1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BKT!$A$1:$J$238</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DG!$A$1:$J$2068</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pp3p1m!$A$9:$AH$140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pp3p1m!$A$5:$AH$145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37" i="132" l="1"/>
  <c r="J236" i="132"/>
  <c r="J235" i="132"/>
  <c r="J234" i="132"/>
  <c r="J233"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9" i="132"/>
  <c r="J158" i="132"/>
  <c r="J157" i="132"/>
  <c r="J156" i="132"/>
  <c r="J155" i="132"/>
  <c r="J154" i="132"/>
  <c r="J153" i="132"/>
  <c r="J152" i="132"/>
  <c r="J151" i="132"/>
  <c r="J150"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81" i="132"/>
  <c r="J80" i="132"/>
  <c r="J79" i="132"/>
  <c r="J78" i="132"/>
  <c r="J77" i="132"/>
  <c r="J76" i="132"/>
  <c r="J75" i="132"/>
  <c r="J74" i="132"/>
  <c r="J73" i="132"/>
  <c r="J72" i="132"/>
  <c r="J71" i="132"/>
  <c r="J70" i="132"/>
  <c r="J69" i="132"/>
  <c r="J68" i="132"/>
  <c r="J67" i="132"/>
  <c r="J66" i="132"/>
  <c r="J64" i="132"/>
  <c r="J63" i="132"/>
  <c r="J62" i="132"/>
  <c r="J61" i="132"/>
  <c r="J60" i="132"/>
  <c r="J59" i="132"/>
  <c r="J58" i="132"/>
  <c r="J57" i="132"/>
  <c r="J56" i="132"/>
  <c r="J55" i="132"/>
  <c r="J54" i="132"/>
  <c r="J53" i="132"/>
  <c r="J52" i="132"/>
  <c r="J51" i="132"/>
  <c r="J50" i="132"/>
  <c r="J49" i="132"/>
  <c r="J48" i="132"/>
  <c r="J47" i="132"/>
  <c r="J46" i="132"/>
  <c r="J45" i="132"/>
  <c r="J44" i="132"/>
  <c r="J43" i="132"/>
  <c r="J42" i="132"/>
  <c r="J41" i="132"/>
  <c r="J40" i="132"/>
  <c r="J39" i="132"/>
  <c r="J38" i="132"/>
  <c r="J37" i="132"/>
  <c r="J36" i="132"/>
  <c r="J35" i="132"/>
  <c r="J34" i="132"/>
  <c r="J33" i="132"/>
  <c r="J32" i="132"/>
  <c r="J31" i="132"/>
  <c r="J30" i="132"/>
  <c r="J29" i="132"/>
  <c r="J28" i="132"/>
  <c r="J27" i="132"/>
  <c r="J26" i="132"/>
  <c r="J25" i="132"/>
  <c r="J24" i="132"/>
  <c r="J23" i="132"/>
  <c r="J22" i="132"/>
  <c r="J21" i="132"/>
  <c r="J20" i="132"/>
  <c r="J19" i="132"/>
  <c r="J18" i="132"/>
  <c r="J17" i="132"/>
  <c r="J16" i="132"/>
  <c r="J15" i="132"/>
  <c r="J14" i="132"/>
  <c r="J13" i="132"/>
  <c r="J12" i="132"/>
  <c r="J11" i="132"/>
  <c r="J10" i="132"/>
  <c r="J9" i="132"/>
  <c r="J8" i="132"/>
  <c r="J7" i="132"/>
  <c r="J6" i="132"/>
  <c r="J5" i="132"/>
  <c r="J4" i="132"/>
  <c r="J3" i="132"/>
  <c r="J2" i="132"/>
  <c r="I751" i="1" l="1"/>
  <c r="J751" i="1"/>
  <c r="M751" i="1"/>
  <c r="N751" i="1"/>
  <c r="O751" i="1"/>
  <c r="H34" i="132" l="1"/>
  <c r="V140" i="41"/>
  <c r="V2" i="41" s="1"/>
  <c r="V3" i="41" s="1"/>
  <c r="AE1" i="41"/>
  <c r="AH1" i="41"/>
  <c r="H2" i="132"/>
  <c r="A1" i="41" s="1"/>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H157" i="132"/>
  <c r="H156" i="132"/>
  <c r="H155" i="132"/>
  <c r="H154" i="132"/>
  <c r="H153" i="132"/>
  <c r="H152"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H79" i="132"/>
  <c r="H78" i="132"/>
  <c r="H77" i="132"/>
  <c r="H76" i="132"/>
  <c r="H75" i="132"/>
  <c r="H74" i="132"/>
  <c r="H73" i="132"/>
  <c r="H72" i="132"/>
  <c r="H71" i="132"/>
  <c r="H70" i="132"/>
  <c r="H69" i="132"/>
  <c r="H68" i="132"/>
  <c r="H67" i="132"/>
  <c r="H66" i="132"/>
  <c r="H64" i="132"/>
  <c r="H63" i="132"/>
  <c r="H62" i="132"/>
  <c r="H61" i="132"/>
  <c r="H60" i="132"/>
  <c r="H59" i="132"/>
  <c r="H58" i="132"/>
  <c r="H57" i="132"/>
  <c r="H56" i="132"/>
  <c r="H55" i="132"/>
  <c r="H54" i="132"/>
  <c r="H53" i="132"/>
  <c r="H52" i="132"/>
  <c r="H51" i="132"/>
  <c r="H50" i="132"/>
  <c r="H49" i="132"/>
  <c r="H48" i="132"/>
  <c r="H47" i="132"/>
  <c r="H46" i="132"/>
  <c r="H45" i="132"/>
  <c r="H44" i="132"/>
  <c r="H43" i="132"/>
  <c r="H42" i="132"/>
  <c r="H41" i="132"/>
  <c r="H40" i="132"/>
  <c r="H39" i="132"/>
  <c r="H38" i="132"/>
  <c r="H37" i="132"/>
  <c r="H36" i="132"/>
  <c r="H35" i="132"/>
  <c r="H33" i="132"/>
  <c r="AG1" i="41" s="1"/>
  <c r="H32" i="132"/>
  <c r="AF1" i="41" s="1"/>
  <c r="H31" i="132"/>
  <c r="H30" i="132"/>
  <c r="AD1" i="41" s="1"/>
  <c r="H29" i="132"/>
  <c r="AC1" i="41" s="1"/>
  <c r="H28" i="132"/>
  <c r="AB1" i="41" s="1"/>
  <c r="H27" i="132"/>
  <c r="AA1" i="41" s="1"/>
  <c r="H26" i="132"/>
  <c r="Z1" i="41" s="1"/>
  <c r="H25" i="132"/>
  <c r="Y1" i="41" s="1"/>
  <c r="H24" i="132"/>
  <c r="X1" i="41" s="1"/>
  <c r="H23" i="132"/>
  <c r="V1" i="41" s="1"/>
  <c r="H22" i="132"/>
  <c r="U1" i="41" s="1"/>
  <c r="H21" i="132"/>
  <c r="T1" i="41" s="1"/>
  <c r="H20" i="132"/>
  <c r="S1" i="41" s="1"/>
  <c r="H19" i="132"/>
  <c r="R1" i="41" s="1"/>
  <c r="H18" i="132"/>
  <c r="Q1" i="41" s="1"/>
  <c r="H17" i="132"/>
  <c r="P1" i="41" s="1"/>
  <c r="H16" i="132"/>
  <c r="O1" i="41" s="1"/>
  <c r="H15" i="132"/>
  <c r="N1" i="41" s="1"/>
  <c r="H14"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140" i="41"/>
  <c r="H2" i="41" s="1"/>
  <c r="H3" i="41" s="1"/>
  <c r="V10" i="41" l="1"/>
  <c r="W1" i="41"/>
  <c r="X10" i="41"/>
  <c r="H10" i="41"/>
  <c r="I10" i="41"/>
  <c r="D140" i="41"/>
  <c r="E140" i="41"/>
  <c r="E10" i="41" s="1"/>
  <c r="F140" i="41"/>
  <c r="F10" i="41" s="1"/>
  <c r="G140" i="41"/>
  <c r="G10" i="41" s="1"/>
  <c r="J140" i="41"/>
  <c r="J10" i="41" s="1"/>
  <c r="K140" i="41"/>
  <c r="K10" i="41" s="1"/>
  <c r="L140" i="41"/>
  <c r="L10" i="41" s="1"/>
  <c r="M140" i="41"/>
  <c r="M10" i="41" s="1"/>
  <c r="N140" i="41"/>
  <c r="N10" i="41" s="1"/>
  <c r="O140" i="41"/>
  <c r="O10" i="41" s="1"/>
  <c r="P140" i="41"/>
  <c r="P10" i="41" s="1"/>
  <c r="Q140" i="41"/>
  <c r="Q10" i="41" s="1"/>
  <c r="R140" i="41"/>
  <c r="R10" i="41" s="1"/>
  <c r="S140" i="41"/>
  <c r="S10" i="41" s="1"/>
  <c r="T140" i="41"/>
  <c r="T10" i="41" s="1"/>
  <c r="U140" i="41"/>
  <c r="U10" i="41" s="1"/>
  <c r="W140" i="41"/>
  <c r="W10" i="41" s="1"/>
  <c r="Y140" i="41"/>
  <c r="Y10" i="41" s="1"/>
  <c r="Z140" i="41"/>
  <c r="Z10" i="41" s="1"/>
  <c r="AA140" i="41"/>
  <c r="AA10" i="41" s="1"/>
  <c r="AB140" i="41"/>
  <c r="AB10" i="41" s="1"/>
  <c r="AC140" i="41"/>
  <c r="AC10" i="41" s="1"/>
  <c r="AD140" i="41"/>
  <c r="AD10" i="41" s="1"/>
  <c r="AE140" i="41"/>
  <c r="AE10" i="41" s="1"/>
  <c r="AF140" i="41"/>
  <c r="AF10" i="41" s="1"/>
  <c r="AG140" i="41"/>
  <c r="AG10" i="41" s="1"/>
  <c r="AH140" i="41"/>
  <c r="AH10" i="41" s="1"/>
  <c r="C140" i="41"/>
  <c r="J1364" i="15"/>
  <c r="J1384" i="15" l="1"/>
  <c r="J1383" i="15"/>
  <c r="J1381" i="15" l="1"/>
  <c r="J1382" i="15"/>
  <c r="J1389" i="15" l="1"/>
  <c r="J1388" i="15"/>
  <c r="J1390" i="15"/>
  <c r="F235" i="132"/>
  <c r="J1385" i="15"/>
  <c r="J1386" i="15"/>
  <c r="J1387" i="15"/>
  <c r="J796" i="15"/>
  <c r="E796" i="15"/>
  <c r="J795" i="15"/>
  <c r="E795" i="15"/>
  <c r="A1" i="132"/>
  <c r="F8" i="132"/>
  <c r="J1298" i="15"/>
  <c r="F78"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0" i="132"/>
  <c r="F5" i="132"/>
  <c r="F41" i="132"/>
  <c r="F42" i="132"/>
  <c r="F66" i="132"/>
  <c r="F67" i="132"/>
  <c r="F68" i="132"/>
  <c r="F69" i="132"/>
  <c r="F70" i="132"/>
  <c r="F65" i="132"/>
  <c r="F80" i="132"/>
  <c r="F81" i="132"/>
  <c r="F82" i="132"/>
  <c r="F83" i="132"/>
  <c r="F84" i="132"/>
  <c r="F85" i="132"/>
  <c r="F86" i="132"/>
  <c r="F87" i="132"/>
  <c r="F88" i="132"/>
  <c r="F89" i="132"/>
  <c r="F90" i="132"/>
  <c r="F91" i="132"/>
  <c r="F92" i="132"/>
  <c r="F93" i="132"/>
  <c r="F94" i="132"/>
  <c r="F95" i="132"/>
  <c r="F96" i="132"/>
  <c r="F134" i="132"/>
  <c r="F137" i="132"/>
  <c r="F148" i="132"/>
  <c r="F149" i="132"/>
  <c r="F163" i="132"/>
  <c r="F165" i="132"/>
  <c r="F173" i="132"/>
  <c r="F166" i="132"/>
  <c r="F167" i="132"/>
  <c r="F168" i="132"/>
  <c r="F169" i="132"/>
  <c r="F17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F229" i="132"/>
  <c r="F230" i="132"/>
  <c r="F231" i="132"/>
  <c r="F232" i="132"/>
  <c r="F234" i="132"/>
  <c r="F236" i="132"/>
  <c r="F237" i="132"/>
  <c r="J1481" i="15"/>
  <c r="J1330" i="15"/>
  <c r="F7" i="132"/>
  <c r="F6" i="132"/>
  <c r="F36" i="132"/>
  <c r="F35"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4" i="15"/>
  <c r="J1614" i="15" s="1"/>
  <c r="C1614" i="15"/>
  <c r="A1610" i="15"/>
  <c r="J1610" i="15" s="1"/>
  <c r="A1609" i="15"/>
  <c r="J1609" i="15" s="1"/>
  <c r="A1608" i="15"/>
  <c r="J1608" i="15" s="1"/>
  <c r="A1607" i="15"/>
  <c r="J1607" i="15" s="1"/>
  <c r="A1516" i="15"/>
  <c r="A1490" i="15"/>
  <c r="C1610" i="15"/>
  <c r="C1609" i="15"/>
  <c r="C1608" i="15"/>
  <c r="C1607" i="15"/>
  <c r="C1516" i="15"/>
  <c r="C1490" i="15"/>
  <c r="C541" i="15"/>
  <c r="A541" i="15"/>
  <c r="C1613" i="15"/>
  <c r="C1612" i="15"/>
  <c r="C1611" i="15"/>
  <c r="C1543" i="15"/>
  <c r="C1515" i="15"/>
  <c r="C1489" i="15"/>
  <c r="A1613" i="15"/>
  <c r="J1613" i="15" s="1"/>
  <c r="A1612" i="15"/>
  <c r="J1612" i="15" s="1"/>
  <c r="A1611" i="15"/>
  <c r="J1611" i="15" s="1"/>
  <c r="A1543" i="15"/>
  <c r="A1515" i="15"/>
  <c r="A1489" i="15"/>
  <c r="F39"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J2523" i="23"/>
  <c r="K2522" i="23"/>
  <c r="H2377" i="23"/>
  <c r="K2574" i="23"/>
  <c r="A2561" i="23"/>
  <c r="K2575" i="23"/>
  <c r="A2550" i="23"/>
  <c r="K2535" i="23"/>
  <c r="K18" i="113"/>
  <c r="K2549" i="23"/>
  <c r="J2558" i="23"/>
  <c r="Q1956" i="1"/>
  <c r="R1956" i="1"/>
  <c r="R1887" i="1"/>
  <c r="H8" i="114"/>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I21" i="113" s="1"/>
  <c r="G2444" i="23"/>
  <c r="G2406" i="23"/>
  <c r="G2413" i="23"/>
  <c r="G2423" i="23"/>
  <c r="G2431" i="23"/>
  <c r="G2438" i="23"/>
  <c r="G2446" i="23"/>
  <c r="G2454" i="23"/>
  <c r="I20" i="113" s="1"/>
  <c r="G2439" i="23"/>
  <c r="G2445" i="23"/>
  <c r="G2453" i="23"/>
  <c r="I19" i="113" s="1"/>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L3330" i="129" l="1"/>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3241" i="129" l="1"/>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L570" i="129" l="1"/>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34" i="132" l="1"/>
  <c r="F27" i="132"/>
  <c r="F24" i="132"/>
  <c r="F21" i="132"/>
  <c r="F33" i="132"/>
  <c r="F28" i="132"/>
  <c r="F23" i="132"/>
  <c r="F32" i="132"/>
  <c r="F25" i="132"/>
  <c r="F30" i="132"/>
  <c r="F22" i="132"/>
  <c r="F29" i="132"/>
  <c r="F31" i="132"/>
  <c r="F16" i="132"/>
  <c r="F19" i="132"/>
  <c r="F20" i="132"/>
  <c r="F18" i="132"/>
  <c r="F9" i="132"/>
  <c r="F14" i="132"/>
  <c r="F11" i="132"/>
  <c r="F79"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5" i="132"/>
  <c r="F159" i="132"/>
  <c r="F182" i="132"/>
  <c r="F112" i="132"/>
  <c r="F174" i="132"/>
  <c r="F104" i="132"/>
  <c r="F157" i="132"/>
  <c r="F54" i="132"/>
  <c r="F156" i="132"/>
  <c r="F60" i="132"/>
  <c r="F155" i="132"/>
  <c r="F58" i="132"/>
  <c r="F139" i="132"/>
  <c r="F51" i="132"/>
  <c r="F122" i="132"/>
  <c r="F176" i="132"/>
  <c r="F98" i="132"/>
  <c r="F61" i="132"/>
  <c r="F158" i="132"/>
  <c r="F150" i="132"/>
  <c r="F47" i="132"/>
  <c r="F141" i="132"/>
  <c r="F53" i="132"/>
  <c r="F140" i="132"/>
  <c r="F52" i="132"/>
  <c r="F131" i="132"/>
  <c r="F45" i="132"/>
  <c r="F114" i="132"/>
  <c r="F160" i="132"/>
  <c r="F73" i="132"/>
  <c r="F151" i="132"/>
  <c r="F15" i="132"/>
  <c r="F63" i="132"/>
  <c r="F142" i="132"/>
  <c r="F128" i="132"/>
  <c r="F133" i="132"/>
  <c r="F46" i="132"/>
  <c r="F132" i="132"/>
  <c r="F13" i="132"/>
  <c r="F123" i="132"/>
  <c r="F17" i="132"/>
  <c r="F107" i="132"/>
  <c r="F152" i="132"/>
  <c r="F164" i="132"/>
  <c r="F120" i="132"/>
  <c r="F143" i="132"/>
  <c r="F55" i="132"/>
  <c r="F126" i="132"/>
  <c r="F97" i="132"/>
  <c r="F125" i="132"/>
  <c r="F136" i="132"/>
  <c r="F124" i="132"/>
  <c r="F177" i="132"/>
  <c r="F115" i="132"/>
  <c r="F161" i="132"/>
  <c r="F99" i="132"/>
  <c r="F145" i="132"/>
  <c r="F56" i="132"/>
  <c r="F100" i="132"/>
  <c r="F64" i="132"/>
  <c r="F135" i="132"/>
  <c r="F48" i="132"/>
  <c r="F118" i="132"/>
  <c r="F26" i="132"/>
  <c r="F117" i="132"/>
  <c r="F105" i="132"/>
  <c r="F116" i="132"/>
  <c r="F170" i="132"/>
  <c r="F108" i="132"/>
  <c r="F153" i="132"/>
  <c r="F74" i="132"/>
  <c r="F129" i="132"/>
  <c r="F49" i="132"/>
  <c r="F127" i="132"/>
  <c r="F144" i="132"/>
  <c r="F111" i="132"/>
  <c r="F59" i="132"/>
  <c r="F110" i="132"/>
  <c r="F38" i="132"/>
  <c r="F109" i="132"/>
  <c r="F162" i="132"/>
  <c r="F10" i="132"/>
  <c r="F146" i="132"/>
  <c r="F171" i="132"/>
  <c r="F121" i="132"/>
  <c r="F43" i="132"/>
  <c r="F57" i="132"/>
  <c r="F227" i="132"/>
  <c r="F119" i="132"/>
  <c r="F72" i="132"/>
  <c r="F103" i="132"/>
  <c r="F37" i="132"/>
  <c r="F102" i="132"/>
  <c r="F178" i="132"/>
  <c r="F101" i="132"/>
  <c r="F154" i="132"/>
  <c r="F75" i="132"/>
  <c r="F138" i="132"/>
  <c r="F50" i="132"/>
  <c r="F113" i="132"/>
  <c r="F147" i="132"/>
  <c r="F44" i="132"/>
  <c r="F106" i="132"/>
  <c r="F181" i="132"/>
  <c r="F12" i="132"/>
  <c r="F180" i="132"/>
  <c r="F62" i="132"/>
  <c r="F179" i="132"/>
  <c r="F77" i="132"/>
  <c r="F233" i="132"/>
  <c r="F76" i="132"/>
  <c r="F130" i="132"/>
  <c r="J157" i="97"/>
  <c r="K157" i="97" s="1"/>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I22" i="113" s="1"/>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5" i="113" l="1"/>
  <c r="H13" i="114"/>
  <c r="I24" i="113"/>
  <c r="I26" i="113"/>
  <c r="I23" i="113"/>
  <c r="I13" i="114"/>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H22" i="113" s="1"/>
  <c r="E2458" i="23"/>
  <c r="E2456" i="23"/>
  <c r="F2455" i="23"/>
  <c r="E2455" i="23"/>
  <c r="F2454" i="23"/>
  <c r="H20" i="113" s="1"/>
  <c r="E2454" i="23"/>
  <c r="F2453" i="23"/>
  <c r="H19" i="113" s="1"/>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H11" i="114"/>
  <c r="I11" i="114"/>
  <c r="H24" i="113"/>
  <c r="H26" i="113"/>
  <c r="I8" i="114"/>
  <c r="H10" i="114"/>
  <c r="H9" i="114"/>
  <c r="I10" i="114"/>
  <c r="H23" i="113"/>
  <c r="H25" i="113"/>
  <c r="I9" i="114"/>
  <c r="D109" i="109"/>
  <c r="E109" i="109"/>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P752" i="1" l="1"/>
  <c r="P754" i="1"/>
  <c r="P753" i="1"/>
  <c r="P751" i="1"/>
  <c r="P631" i="1"/>
  <c r="P633" i="1"/>
  <c r="P632" i="1"/>
  <c r="P637" i="1"/>
  <c r="P636" i="1"/>
  <c r="P2326" i="1"/>
  <c r="G40" i="130" s="1"/>
  <c r="C1808" i="1"/>
  <c r="FK184" i="16"/>
  <c r="J10" i="114"/>
  <c r="J8" i="114"/>
  <c r="J13" i="114"/>
  <c r="G19" i="130"/>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R92" i="1" l="1"/>
  <c r="H108" i="1"/>
  <c r="P108" i="1" s="1"/>
  <c r="R750" i="1"/>
  <c r="R751" i="1" s="1"/>
  <c r="H754" i="1"/>
  <c r="H753" i="1"/>
  <c r="H752" i="1"/>
  <c r="C752" i="1" s="1"/>
  <c r="H632" i="1"/>
  <c r="H637" i="1"/>
  <c r="H631" i="1"/>
  <c r="H636" i="1"/>
  <c r="H633"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752" i="1" l="1"/>
  <c r="R754" i="1"/>
  <c r="R753" i="1"/>
  <c r="Q754" i="1"/>
  <c r="Q751" i="1"/>
  <c r="Q752" i="1"/>
  <c r="Q753" i="1"/>
  <c r="R1793" i="1"/>
  <c r="R1113" i="1"/>
  <c r="R1108" i="1"/>
  <c r="R1109" i="1"/>
  <c r="R1111" i="1"/>
  <c r="R1112" i="1"/>
  <c r="Q1838" i="1"/>
  <c r="K22" i="113"/>
  <c r="K8" i="114"/>
  <c r="D8" i="114" s="1"/>
  <c r="Q454" i="1"/>
  <c r="Q463" i="1"/>
  <c r="Q451" i="1"/>
  <c r="Q460" i="1"/>
  <c r="Q459" i="1"/>
  <c r="Q450" i="1"/>
  <c r="Q455" i="1"/>
  <c r="Q458" i="1"/>
  <c r="Q457" i="1"/>
  <c r="Q464" i="1"/>
  <c r="Q462" i="1"/>
  <c r="Q456" i="1"/>
  <c r="Q453" i="1"/>
  <c r="Q449" i="1"/>
  <c r="Q452" i="1"/>
  <c r="Q461" i="1"/>
  <c r="G7" i="130"/>
  <c r="K24" i="113"/>
  <c r="G24" i="113" s="1"/>
  <c r="K21" i="113"/>
  <c r="K10" i="114"/>
  <c r="D10" i="114" s="1"/>
  <c r="A2380" i="23"/>
  <c r="K23" i="113"/>
  <c r="G23" i="113" s="1"/>
  <c r="K9" i="114"/>
  <c r="D9" i="114" s="1"/>
  <c r="A2383" i="23"/>
  <c r="K20" i="113"/>
  <c r="A2378" i="23"/>
  <c r="K11" i="114"/>
  <c r="D11" i="114" s="1"/>
  <c r="A2387" i="23"/>
  <c r="K19" i="113"/>
  <c r="R454" i="1"/>
  <c r="R453" i="1"/>
  <c r="R451" i="1"/>
  <c r="R457" i="1"/>
  <c r="R462" i="1"/>
  <c r="R460" i="1"/>
  <c r="R455" i="1"/>
  <c r="R461" i="1"/>
  <c r="R458" i="1"/>
  <c r="R464" i="1"/>
  <c r="R449" i="1"/>
  <c r="R450" i="1"/>
  <c r="R463" i="1"/>
  <c r="R452" i="1"/>
  <c r="R459" i="1"/>
  <c r="R456" i="1"/>
  <c r="K25" i="113"/>
  <c r="G25" i="113" s="1"/>
  <c r="A2384" i="23"/>
  <c r="K26" i="113"/>
  <c r="G26" i="113" s="1"/>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<sst xmlns="http://schemas.openxmlformats.org/spreadsheetml/2006/main" count="30316" uniqueCount="6661">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</sst>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69">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164" fontId="40" fillId="0" borderId="0" xfId="2" applyFont="1" applyBorder="1" applyAlignment="1" applyProtection="1">
      <alignment horizontal="left" vertical="center" shrinkToFit="1"/>
    </xf>
    <xf numFmtId="164" fontId="40" fillId="0" borderId="0" xfId="2" applyFont="1" applyBorder="1" applyAlignment="1" applyProtection="1">
      <alignment horizontal="left" shrinkToFit="1"/>
    </xf>
    <xf numFmtId="164"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164"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164"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5"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5" fontId="26" fillId="0" borderId="0" xfId="2" applyNumberFormat="1" applyFont="1" applyFill="1" applyBorder="1" applyAlignment="1" applyProtection="1">
      <alignment horizontal="left" shrinkToFit="1"/>
    </xf>
    <xf numFmtId="164"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164"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9"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9"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35" fillId="0" borderId="135" xfId="0" applyFont="1" applyBorder="1" applyAlignment="1">
      <alignment horizontal="left" vertical="center"/>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20">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45814141"/>
          <a:ext cx="15204140"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927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1358074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69"/>
  <sheetViews>
    <sheetView showZeros="0" zoomScaleNormal="100" workbookViewId="0">
      <pane xSplit="3" ySplit="2" topLeftCell="D1275" activePane="bottomRight" state="frozen"/>
      <selection activeCell="C16" sqref="C16"/>
      <selection pane="topRight" activeCell="C16" sqref="C16"/>
      <selection pane="bottomLeft" activeCell="C16" sqref="C16"/>
      <selection pane="bottomRight" activeCell="A1387" sqref="A1387"/>
    </sheetView>
  </sheetViews>
  <sheetFormatPr defaultColWidth="8.90625" defaultRowHeight="13.2"/>
  <cols>
    <col min="1" max="1" width="15.36328125" style="1655" customWidth="1"/>
    <col min="2" max="2" width="9.81640625" style="1649" customWidth="1"/>
    <col min="3" max="3" width="58.453125" style="1655" customWidth="1"/>
    <col min="4" max="4" width="8.90625" style="54" customWidth="1"/>
    <col min="5" max="5" width="5.08984375" style="2008" customWidth="1"/>
    <col min="6" max="7" width="8.90625" style="54"/>
    <col min="8" max="8" width="10.1796875" style="54" customWidth="1"/>
    <col min="9" max="16384" width="8.90625" style="54"/>
  </cols>
  <sheetData>
    <row r="1" spans="1:10" s="1636" customFormat="1" ht="27.75" customHeight="1">
      <c r="A1" s="1009">
        <v>100</v>
      </c>
      <c r="B1" s="1635" t="s">
        <v>2604</v>
      </c>
      <c r="C1" s="1634" t="s">
        <v>2605</v>
      </c>
      <c r="D1" s="1348" t="s">
        <v>2606</v>
      </c>
      <c r="E1" s="1755"/>
      <c r="F1" s="1636" t="s">
        <v>1708</v>
      </c>
      <c r="G1" s="1636" t="s">
        <v>4519</v>
      </c>
      <c r="H1" s="1636" t="s">
        <v>4824</v>
      </c>
      <c r="I1" s="1636" t="s">
        <v>4825</v>
      </c>
    </row>
    <row r="2" spans="1:10" s="1636" customFormat="1" ht="21.75" hidden="1" customHeight="1">
      <c r="A2" s="1634"/>
      <c r="B2" s="1635">
        <v>2</v>
      </c>
      <c r="C2" s="1634">
        <v>3</v>
      </c>
      <c r="D2" s="1348">
        <v>4</v>
      </c>
      <c r="E2" s="1755"/>
      <c r="F2" s="1636">
        <v>3000</v>
      </c>
    </row>
    <row r="3" spans="1:10" hidden="1">
      <c r="A3" s="71" t="s">
        <v>230</v>
      </c>
      <c r="B3" s="75" t="s">
        <v>1746</v>
      </c>
      <c r="C3" s="71" t="s">
        <v>2607</v>
      </c>
      <c r="D3" s="72" t="s">
        <v>2555</v>
      </c>
      <c r="E3" s="2008" t="str">
        <f>LEFT(A3,2)</f>
        <v>D1</v>
      </c>
      <c r="F3" s="54">
        <v>50</v>
      </c>
      <c r="G3" s="54" t="s">
        <v>512</v>
      </c>
      <c r="J3" s="54" t="str">
        <f>A3</f>
        <v>D12</v>
      </c>
    </row>
    <row r="4" spans="1:10" hidden="1">
      <c r="A4" s="71" t="s">
        <v>231</v>
      </c>
      <c r="B4" s="75" t="s">
        <v>220</v>
      </c>
      <c r="C4" s="71" t="s">
        <v>2608</v>
      </c>
      <c r="D4" s="72" t="s">
        <v>2555</v>
      </c>
      <c r="E4" s="2008" t="str">
        <f t="shared" ref="E4:E71" si="0">LEFT(A4,2)</f>
        <v>D1</v>
      </c>
      <c r="F4" s="54">
        <v>50</v>
      </c>
      <c r="G4" s="54" t="s">
        <v>512</v>
      </c>
      <c r="J4" s="54" t="str">
        <f t="shared" ref="J4:J69" si="1">A4</f>
        <v>D15</v>
      </c>
    </row>
    <row r="5" spans="1:10" hidden="1">
      <c r="A5" s="71" t="s">
        <v>163</v>
      </c>
      <c r="B5" s="75" t="s">
        <v>1558</v>
      </c>
      <c r="C5" s="71" t="s">
        <v>2609</v>
      </c>
      <c r="D5" s="72" t="s">
        <v>2555</v>
      </c>
      <c r="E5" s="2008" t="str">
        <f t="shared" si="0"/>
        <v>D2</v>
      </c>
      <c r="F5" s="54">
        <v>50</v>
      </c>
      <c r="G5" s="54" t="s">
        <v>512</v>
      </c>
      <c r="J5" s="54" t="str">
        <f t="shared" si="1"/>
        <v>D20</v>
      </c>
    </row>
    <row r="6" spans="1:10" hidden="1">
      <c r="A6" s="71" t="s">
        <v>1847</v>
      </c>
      <c r="B6" s="75" t="s">
        <v>1558</v>
      </c>
      <c r="C6" s="71" t="s">
        <v>2610</v>
      </c>
      <c r="D6" s="72" t="s">
        <v>2555</v>
      </c>
      <c r="E6" s="2008" t="str">
        <f t="shared" si="0"/>
        <v>D2</v>
      </c>
      <c r="F6" s="54">
        <v>50</v>
      </c>
      <c r="G6" s="54" t="s">
        <v>512</v>
      </c>
      <c r="J6" s="54" t="str">
        <f t="shared" si="1"/>
        <v>D25</v>
      </c>
    </row>
    <row r="7" spans="1:10" hidden="1">
      <c r="A7" s="71" t="s">
        <v>1258</v>
      </c>
      <c r="B7" s="75" t="s">
        <v>220</v>
      </c>
      <c r="C7" s="71" t="s">
        <v>2611</v>
      </c>
      <c r="D7" s="72" t="s">
        <v>2555</v>
      </c>
      <c r="E7" s="2008" t="str">
        <f t="shared" si="0"/>
        <v>DN</v>
      </c>
      <c r="F7" s="54">
        <v>50</v>
      </c>
      <c r="G7" s="54" t="s">
        <v>512</v>
      </c>
      <c r="J7" s="54" t="str">
        <f t="shared" si="1"/>
        <v>DN0212</v>
      </c>
    </row>
    <row r="8" spans="1:10" hidden="1">
      <c r="A8" s="71" t="s">
        <v>342</v>
      </c>
      <c r="B8" s="75" t="s">
        <v>220</v>
      </c>
      <c r="C8" s="71" t="s">
        <v>2612</v>
      </c>
      <c r="D8" s="72" t="s">
        <v>2555</v>
      </c>
      <c r="E8" s="2008" t="str">
        <f t="shared" si="0"/>
        <v>DN</v>
      </c>
      <c r="F8" s="54">
        <v>50</v>
      </c>
      <c r="G8" s="54" t="s">
        <v>512</v>
      </c>
      <c r="J8" s="54" t="str">
        <f t="shared" si="1"/>
        <v>DN0412</v>
      </c>
    </row>
    <row r="9" spans="1:10" hidden="1">
      <c r="A9" s="71" t="s">
        <v>2130</v>
      </c>
      <c r="B9" s="75" t="s">
        <v>1558</v>
      </c>
      <c r="C9" s="71" t="s">
        <v>2613</v>
      </c>
      <c r="D9" s="72" t="s">
        <v>2555</v>
      </c>
      <c r="E9" s="2008" t="str">
        <f t="shared" si="0"/>
        <v>DN</v>
      </c>
      <c r="F9" s="54">
        <v>50</v>
      </c>
      <c r="G9" s="54" t="s">
        <v>512</v>
      </c>
      <c r="J9" s="54" t="str">
        <f t="shared" si="1"/>
        <v>DN0415</v>
      </c>
    </row>
    <row r="10" spans="1:10" hidden="1">
      <c r="A10" s="71" t="s">
        <v>2131</v>
      </c>
      <c r="B10" s="75" t="s">
        <v>1558</v>
      </c>
      <c r="C10" s="71" t="s">
        <v>2614</v>
      </c>
      <c r="D10" s="72" t="s">
        <v>2555</v>
      </c>
      <c r="E10" s="2008" t="str">
        <f t="shared" si="0"/>
        <v>DN</v>
      </c>
      <c r="F10" s="54">
        <v>50</v>
      </c>
      <c r="G10" s="54" t="s">
        <v>512</v>
      </c>
      <c r="J10" s="54" t="str">
        <f t="shared" si="1"/>
        <v>DN0615</v>
      </c>
    </row>
    <row r="11" spans="1:10" hidden="1">
      <c r="A11" s="71" t="s">
        <v>1731</v>
      </c>
      <c r="B11" s="75" t="s">
        <v>1558</v>
      </c>
      <c r="C11" s="71" t="s">
        <v>2615</v>
      </c>
      <c r="D11" s="72" t="s">
        <v>2555</v>
      </c>
      <c r="E11" s="2008" t="str">
        <f t="shared" si="0"/>
        <v>DN</v>
      </c>
      <c r="F11" s="54">
        <v>50</v>
      </c>
      <c r="G11" s="54" t="s">
        <v>512</v>
      </c>
      <c r="J11" s="54" t="str">
        <f t="shared" si="1"/>
        <v>DN0618</v>
      </c>
    </row>
    <row r="12" spans="1:10" hidden="1">
      <c r="A12" s="71" t="s">
        <v>1077</v>
      </c>
      <c r="B12" s="75" t="s">
        <v>1558</v>
      </c>
      <c r="C12" s="71" t="s">
        <v>2616</v>
      </c>
      <c r="D12" s="72" t="s">
        <v>2555</v>
      </c>
      <c r="E12" s="2008" t="str">
        <f t="shared" si="0"/>
        <v>DN</v>
      </c>
      <c r="F12" s="54">
        <v>50</v>
      </c>
      <c r="G12" s="54" t="s">
        <v>512</v>
      </c>
      <c r="J12" s="54" t="str">
        <f t="shared" si="1"/>
        <v>DN1500</v>
      </c>
    </row>
    <row r="13" spans="1:10" hidden="1">
      <c r="A13" s="71" t="s">
        <v>1076</v>
      </c>
      <c r="B13" s="75" t="s">
        <v>220</v>
      </c>
      <c r="C13" s="71" t="s">
        <v>2617</v>
      </c>
      <c r="D13" s="72" t="s">
        <v>2555</v>
      </c>
      <c r="E13" s="2008" t="str">
        <f t="shared" si="0"/>
        <v>DN</v>
      </c>
      <c r="F13" s="54">
        <v>50</v>
      </c>
      <c r="G13" s="54" t="s">
        <v>512</v>
      </c>
      <c r="J13" s="54" t="str">
        <f t="shared" si="1"/>
        <v>DN1200</v>
      </c>
    </row>
    <row r="14" spans="1:10" hidden="1">
      <c r="A14" s="71" t="s">
        <v>1002</v>
      </c>
      <c r="B14" s="1638"/>
      <c r="C14" s="71" t="s">
        <v>2618</v>
      </c>
      <c r="D14" s="72" t="s">
        <v>2555</v>
      </c>
      <c r="E14" s="2008" t="str">
        <f t="shared" si="0"/>
        <v>BN</v>
      </c>
      <c r="F14" s="54">
        <v>50</v>
      </c>
      <c r="G14" s="54" t="s">
        <v>512</v>
      </c>
      <c r="J14" s="54" t="str">
        <f t="shared" si="1"/>
        <v>BNH</v>
      </c>
    </row>
    <row r="15" spans="1:10" hidden="1">
      <c r="A15" s="71" t="s">
        <v>378</v>
      </c>
      <c r="B15" s="1638"/>
      <c r="C15" s="71" t="s">
        <v>2619</v>
      </c>
      <c r="D15" s="72" t="s">
        <v>2555</v>
      </c>
      <c r="E15" s="2008" t="str">
        <f t="shared" si="0"/>
        <v>BB</v>
      </c>
      <c r="F15" s="54">
        <v>50</v>
      </c>
      <c r="G15" s="54" t="s">
        <v>512</v>
      </c>
      <c r="J15" s="54" t="str">
        <f t="shared" si="1"/>
        <v>BBD</v>
      </c>
    </row>
    <row r="16" spans="1:10" hidden="1">
      <c r="A16" s="71" t="s">
        <v>2171</v>
      </c>
      <c r="B16" s="1638"/>
      <c r="C16" s="71" t="s">
        <v>2620</v>
      </c>
      <c r="D16" s="72" t="s">
        <v>2439</v>
      </c>
      <c r="E16" s="2008" t="str">
        <f t="shared" si="0"/>
        <v>B4</v>
      </c>
      <c r="F16" s="54">
        <v>50</v>
      </c>
      <c r="G16" s="54" t="s">
        <v>512</v>
      </c>
      <c r="J16" s="54" t="str">
        <f t="shared" si="1"/>
        <v>B460</v>
      </c>
    </row>
    <row r="17" spans="1:10" hidden="1">
      <c r="A17" s="71" t="s">
        <v>790</v>
      </c>
      <c r="B17" s="1638"/>
      <c r="C17" s="71" t="s">
        <v>2621</v>
      </c>
      <c r="D17" s="72" t="s">
        <v>2439</v>
      </c>
      <c r="E17" s="2008" t="str">
        <f t="shared" si="0"/>
        <v>B6</v>
      </c>
      <c r="F17" s="54">
        <v>50</v>
      </c>
      <c r="G17" s="54" t="s">
        <v>512</v>
      </c>
      <c r="J17" s="54" t="str">
        <f t="shared" si="1"/>
        <v>B630</v>
      </c>
    </row>
    <row r="18" spans="1:10" hidden="1">
      <c r="A18" s="71" t="s">
        <v>743</v>
      </c>
      <c r="B18" s="1638"/>
      <c r="C18" s="71" t="s">
        <v>2622</v>
      </c>
      <c r="D18" s="72" t="s">
        <v>2439</v>
      </c>
      <c r="E18" s="2008" t="str">
        <f t="shared" si="0"/>
        <v>B1</v>
      </c>
      <c r="F18" s="54">
        <v>50</v>
      </c>
      <c r="G18" s="54" t="s">
        <v>512</v>
      </c>
      <c r="J18" s="54" t="str">
        <f t="shared" si="1"/>
        <v>B1030TH</v>
      </c>
    </row>
    <row r="19" spans="1:10" hidden="1">
      <c r="A19" s="71" t="s">
        <v>1797</v>
      </c>
      <c r="B19" s="1638"/>
      <c r="C19" s="71" t="s">
        <v>2623</v>
      </c>
      <c r="D19" s="72" t="s">
        <v>2439</v>
      </c>
      <c r="E19" s="2008" t="str">
        <f t="shared" si="0"/>
        <v>B1</v>
      </c>
      <c r="F19" s="54">
        <v>50</v>
      </c>
      <c r="G19" s="54" t="s">
        <v>512</v>
      </c>
      <c r="J19" s="54" t="str">
        <f t="shared" si="1"/>
        <v>B1040</v>
      </c>
    </row>
    <row r="20" spans="1:10" hidden="1">
      <c r="A20" s="71" t="s">
        <v>671</v>
      </c>
      <c r="B20" s="1638"/>
      <c r="C20" s="71" t="s">
        <v>2624</v>
      </c>
      <c r="D20" s="72" t="s">
        <v>2439</v>
      </c>
      <c r="E20" s="2008" t="str">
        <f t="shared" si="0"/>
        <v>B1</v>
      </c>
      <c r="F20" s="54">
        <v>50</v>
      </c>
      <c r="G20" s="54" t="s">
        <v>512</v>
      </c>
      <c r="J20" s="54" t="str">
        <f t="shared" si="1"/>
        <v>B1050</v>
      </c>
    </row>
    <row r="21" spans="1:10" hidden="1">
      <c r="A21" s="71" t="s">
        <v>468</v>
      </c>
      <c r="B21" s="1638"/>
      <c r="C21" s="71" t="s">
        <v>2625</v>
      </c>
      <c r="D21" s="72" t="s">
        <v>2439</v>
      </c>
      <c r="E21" s="2008" t="str">
        <f t="shared" si="0"/>
        <v>B1</v>
      </c>
      <c r="F21" s="54">
        <v>50</v>
      </c>
      <c r="G21" s="54" t="s">
        <v>512</v>
      </c>
      <c r="J21" s="54" t="str">
        <f t="shared" si="1"/>
        <v>B10250</v>
      </c>
    </row>
    <row r="22" spans="1:10" hidden="1">
      <c r="A22" s="71" t="s">
        <v>437</v>
      </c>
      <c r="B22" s="1638"/>
      <c r="C22" s="71" t="s">
        <v>2626</v>
      </c>
      <c r="D22" s="72" t="s">
        <v>2439</v>
      </c>
      <c r="E22" s="2008" t="str">
        <f t="shared" si="0"/>
        <v>B1</v>
      </c>
      <c r="F22" s="54">
        <v>50</v>
      </c>
      <c r="G22" s="54" t="s">
        <v>512</v>
      </c>
      <c r="J22" s="54" t="str">
        <f t="shared" si="1"/>
        <v>B1230</v>
      </c>
    </row>
    <row r="23" spans="1:10" hidden="1">
      <c r="A23" s="71" t="s">
        <v>138</v>
      </c>
      <c r="B23" s="1638"/>
      <c r="C23" s="71" t="s">
        <v>2627</v>
      </c>
      <c r="D23" s="72" t="s">
        <v>2439</v>
      </c>
      <c r="E23" s="2008" t="str">
        <f t="shared" si="0"/>
        <v>B1</v>
      </c>
      <c r="F23" s="54">
        <v>50</v>
      </c>
      <c r="G23" s="54" t="s">
        <v>512</v>
      </c>
      <c r="J23" s="54" t="str">
        <f t="shared" si="1"/>
        <v>B1240</v>
      </c>
    </row>
    <row r="24" spans="1:10" hidden="1">
      <c r="A24" s="71" t="s">
        <v>701</v>
      </c>
      <c r="B24" s="1638"/>
      <c r="C24" s="71" t="s">
        <v>2628</v>
      </c>
      <c r="D24" s="72" t="s">
        <v>2439</v>
      </c>
      <c r="E24" s="2008" t="str">
        <f t="shared" si="0"/>
        <v>B1</v>
      </c>
      <c r="F24" s="54">
        <v>50</v>
      </c>
      <c r="G24" s="54" t="s">
        <v>512</v>
      </c>
      <c r="J24" s="54" t="str">
        <f t="shared" si="1"/>
        <v>B1250</v>
      </c>
    </row>
    <row r="25" spans="1:10" hidden="1">
      <c r="A25" s="71" t="s">
        <v>1985</v>
      </c>
      <c r="B25" s="1638"/>
      <c r="C25" s="71" t="s">
        <v>2629</v>
      </c>
      <c r="D25" s="72" t="s">
        <v>2439</v>
      </c>
      <c r="E25" s="2008" t="str">
        <f t="shared" si="0"/>
        <v>B1</v>
      </c>
      <c r="F25" s="54">
        <v>50</v>
      </c>
      <c r="G25" s="54" t="s">
        <v>512</v>
      </c>
      <c r="J25" s="54" t="str">
        <f t="shared" si="1"/>
        <v>B1260</v>
      </c>
    </row>
    <row r="26" spans="1:10" hidden="1">
      <c r="A26" s="71" t="s">
        <v>1167</v>
      </c>
      <c r="B26" s="1638"/>
      <c r="C26" s="71" t="s">
        <v>2630</v>
      </c>
      <c r="D26" s="72" t="s">
        <v>2439</v>
      </c>
      <c r="E26" s="2008" t="str">
        <f t="shared" si="0"/>
        <v>B1</v>
      </c>
      <c r="F26" s="54">
        <v>50</v>
      </c>
      <c r="G26" s="54" t="s">
        <v>512</v>
      </c>
      <c r="J26" s="54" t="str">
        <f t="shared" si="1"/>
        <v>B1280</v>
      </c>
    </row>
    <row r="27" spans="1:10">
      <c r="A27" s="71" t="s">
        <v>2270</v>
      </c>
      <c r="B27" s="1638"/>
      <c r="C27" s="71" t="s">
        <v>2631</v>
      </c>
      <c r="D27" s="72" t="s">
        <v>2439</v>
      </c>
      <c r="E27" s="2008" t="str">
        <f t="shared" si="0"/>
        <v>B1</v>
      </c>
      <c r="F27" s="54">
        <v>50</v>
      </c>
      <c r="G27" s="54" t="s">
        <v>512</v>
      </c>
      <c r="J27" s="54" t="str">
        <f t="shared" si="1"/>
        <v>B12100</v>
      </c>
    </row>
    <row r="28" spans="1:10" hidden="1">
      <c r="A28" s="71" t="s">
        <v>1243</v>
      </c>
      <c r="B28" s="1638"/>
      <c r="C28" s="71" t="s">
        <v>2632</v>
      </c>
      <c r="D28" s="72" t="s">
        <v>2439</v>
      </c>
      <c r="E28" s="2008" t="str">
        <f t="shared" si="0"/>
        <v>B1</v>
      </c>
      <c r="F28" s="54">
        <v>50</v>
      </c>
      <c r="G28" s="54" t="s">
        <v>512</v>
      </c>
      <c r="J28" s="54" t="str">
        <f t="shared" si="1"/>
        <v>B12150</v>
      </c>
    </row>
    <row r="29" spans="1:10" hidden="1">
      <c r="A29" s="71" t="s">
        <v>2173</v>
      </c>
      <c r="B29" s="1638"/>
      <c r="C29" s="71" t="s">
        <v>2633</v>
      </c>
      <c r="D29" s="72" t="s">
        <v>2439</v>
      </c>
      <c r="E29" s="2008" t="str">
        <f t="shared" si="0"/>
        <v>B1</v>
      </c>
      <c r="F29" s="54">
        <v>50</v>
      </c>
      <c r="G29" s="54" t="s">
        <v>512</v>
      </c>
      <c r="J29" s="54" t="str">
        <f t="shared" si="1"/>
        <v>B12200</v>
      </c>
    </row>
    <row r="30" spans="1:10" hidden="1">
      <c r="A30" s="71" t="s">
        <v>498</v>
      </c>
      <c r="B30" s="1638"/>
      <c r="C30" s="71" t="s">
        <v>2634</v>
      </c>
      <c r="D30" s="72" t="s">
        <v>2439</v>
      </c>
      <c r="E30" s="2008" t="str">
        <f t="shared" si="0"/>
        <v>B1</v>
      </c>
      <c r="F30" s="54">
        <v>50</v>
      </c>
      <c r="G30" s="54" t="s">
        <v>512</v>
      </c>
      <c r="J30" s="54" t="str">
        <f t="shared" si="1"/>
        <v>B1230TH</v>
      </c>
    </row>
    <row r="31" spans="1:10" hidden="1">
      <c r="A31" s="71" t="s">
        <v>499</v>
      </c>
      <c r="B31" s="1638"/>
      <c r="C31" s="71" t="s">
        <v>2635</v>
      </c>
      <c r="D31" s="72" t="s">
        <v>2439</v>
      </c>
      <c r="E31" s="2008" t="str">
        <f t="shared" si="0"/>
        <v>B1</v>
      </c>
      <c r="F31" s="54">
        <v>50</v>
      </c>
      <c r="G31" s="54" t="s">
        <v>512</v>
      </c>
      <c r="J31" s="54" t="str">
        <f t="shared" si="1"/>
        <v>B1240TH</v>
      </c>
    </row>
    <row r="32" spans="1:10" hidden="1">
      <c r="A32" s="71" t="s">
        <v>916</v>
      </c>
      <c r="B32" s="1638"/>
      <c r="C32" s="71" t="s">
        <v>2636</v>
      </c>
      <c r="D32" s="72" t="s">
        <v>2439</v>
      </c>
      <c r="E32" s="2008" t="str">
        <f t="shared" si="0"/>
        <v>B1</v>
      </c>
      <c r="F32" s="54">
        <v>50</v>
      </c>
      <c r="G32" s="54" t="s">
        <v>512</v>
      </c>
      <c r="J32" s="54" t="str">
        <f t="shared" si="1"/>
        <v>B1250TH</v>
      </c>
    </row>
    <row r="33" spans="1:10">
      <c r="A33" s="71" t="s">
        <v>4512</v>
      </c>
      <c r="B33" s="1638"/>
      <c r="C33" s="71" t="s">
        <v>4513</v>
      </c>
      <c r="D33" s="72" t="s">
        <v>2439</v>
      </c>
      <c r="E33" s="2008" t="str">
        <f>LEFT(A33,2)</f>
        <v>B1</v>
      </c>
      <c r="F33" s="54">
        <v>50</v>
      </c>
      <c r="G33" s="54" t="s">
        <v>512</v>
      </c>
      <c r="J33" s="54" t="str">
        <f t="shared" si="1"/>
        <v>B14100</v>
      </c>
    </row>
    <row r="34" spans="1:10" hidden="1">
      <c r="A34" s="71" t="s">
        <v>4331</v>
      </c>
      <c r="B34" s="1638"/>
      <c r="C34" s="71" t="s">
        <v>4332</v>
      </c>
      <c r="D34" s="72" t="s">
        <v>2439</v>
      </c>
      <c r="E34" s="2008" t="str">
        <f t="shared" si="0"/>
        <v>B1</v>
      </c>
      <c r="F34" s="54">
        <v>50</v>
      </c>
      <c r="G34" s="54" t="s">
        <v>512</v>
      </c>
      <c r="J34" s="54" t="str">
        <f t="shared" si="1"/>
        <v>B14150</v>
      </c>
    </row>
    <row r="35" spans="1:10" hidden="1">
      <c r="A35" s="71" t="s">
        <v>1785</v>
      </c>
      <c r="B35" s="1638"/>
      <c r="C35" s="71" t="s">
        <v>2637</v>
      </c>
      <c r="D35" s="72" t="s">
        <v>2439</v>
      </c>
      <c r="E35" s="2008" t="str">
        <f t="shared" si="0"/>
        <v>B1</v>
      </c>
      <c r="F35" s="54">
        <v>50</v>
      </c>
      <c r="G35" s="54" t="s">
        <v>512</v>
      </c>
      <c r="J35" s="54" t="str">
        <f t="shared" si="1"/>
        <v>B1635</v>
      </c>
    </row>
    <row r="36" spans="1:10" hidden="1">
      <c r="A36" s="71" t="s">
        <v>2149</v>
      </c>
      <c r="B36" s="1638"/>
      <c r="C36" s="71" t="s">
        <v>2638</v>
      </c>
      <c r="D36" s="72" t="s">
        <v>2439</v>
      </c>
      <c r="E36" s="2008" t="str">
        <f t="shared" si="0"/>
        <v>B1</v>
      </c>
      <c r="F36" s="54">
        <v>50</v>
      </c>
      <c r="G36" s="54" t="s">
        <v>512</v>
      </c>
      <c r="J36" s="54" t="str">
        <f t="shared" si="1"/>
        <v>B1640</v>
      </c>
    </row>
    <row r="37" spans="1:10" hidden="1">
      <c r="A37" s="1639" t="s">
        <v>1786</v>
      </c>
      <c r="B37" s="75"/>
      <c r="C37" s="71" t="s">
        <v>2639</v>
      </c>
      <c r="D37" s="72" t="s">
        <v>2439</v>
      </c>
      <c r="E37" s="2008" t="str">
        <f t="shared" ref="E37" si="2">LEFT(A37,2)</f>
        <v>B1</v>
      </c>
      <c r="F37" s="54">
        <v>50</v>
      </c>
      <c r="G37" s="54" t="s">
        <v>512</v>
      </c>
      <c r="J37" s="54" t="str">
        <f t="shared" ref="J37" si="3">A37</f>
        <v>B1650</v>
      </c>
    </row>
    <row r="38" spans="1:10" hidden="1">
      <c r="A38" s="1639" t="s">
        <v>6542</v>
      </c>
      <c r="B38" s="75"/>
      <c r="C38" s="71" t="s">
        <v>6543</v>
      </c>
      <c r="D38" s="72" t="s">
        <v>2439</v>
      </c>
      <c r="E38" s="2008" t="str">
        <f t="shared" si="0"/>
        <v>B1</v>
      </c>
      <c r="F38" s="54">
        <v>50</v>
      </c>
      <c r="G38" s="54" t="s">
        <v>512</v>
      </c>
      <c r="J38" s="54" t="str">
        <f t="shared" si="1"/>
        <v>B1680</v>
      </c>
    </row>
    <row r="39" spans="1:10">
      <c r="A39" s="1639" t="s">
        <v>802</v>
      </c>
      <c r="B39" s="75"/>
      <c r="C39" s="71" t="s">
        <v>2640</v>
      </c>
      <c r="D39" s="72" t="s">
        <v>2439</v>
      </c>
      <c r="E39" s="2008" t="str">
        <f t="shared" si="0"/>
        <v>B1</v>
      </c>
      <c r="F39" s="54">
        <v>50</v>
      </c>
      <c r="G39" s="54" t="s">
        <v>512</v>
      </c>
      <c r="J39" s="54" t="str">
        <f t="shared" si="1"/>
        <v>B16100</v>
      </c>
    </row>
    <row r="40" spans="1:10" hidden="1">
      <c r="A40" s="1639" t="s">
        <v>244</v>
      </c>
      <c r="B40" s="75"/>
      <c r="C40" s="71" t="s">
        <v>2641</v>
      </c>
      <c r="D40" s="72" t="s">
        <v>2439</v>
      </c>
      <c r="E40" s="2008" t="str">
        <f t="shared" si="0"/>
        <v>B1</v>
      </c>
      <c r="F40" s="54">
        <v>50</v>
      </c>
      <c r="G40" s="54" t="s">
        <v>512</v>
      </c>
      <c r="J40" s="54" t="str">
        <f t="shared" si="1"/>
        <v>B16150</v>
      </c>
    </row>
    <row r="41" spans="1:10" hidden="1">
      <c r="A41" s="1639" t="s">
        <v>137</v>
      </c>
      <c r="B41" s="75"/>
      <c r="C41" s="71" t="s">
        <v>2642</v>
      </c>
      <c r="D41" s="72" t="s">
        <v>2439</v>
      </c>
      <c r="E41" s="2008" t="str">
        <f t="shared" si="0"/>
        <v>B1</v>
      </c>
      <c r="F41" s="54">
        <v>50</v>
      </c>
      <c r="G41" s="54" t="s">
        <v>512</v>
      </c>
      <c r="J41" s="54" t="str">
        <f t="shared" si="1"/>
        <v>B16200</v>
      </c>
    </row>
    <row r="42" spans="1:10" hidden="1">
      <c r="A42" s="71" t="s">
        <v>1893</v>
      </c>
      <c r="B42" s="1638"/>
      <c r="C42" s="71" t="s">
        <v>2643</v>
      </c>
      <c r="D42" s="72" t="s">
        <v>2439</v>
      </c>
      <c r="E42" s="2008" t="str">
        <f t="shared" si="0"/>
        <v>B1</v>
      </c>
      <c r="F42" s="54">
        <v>50</v>
      </c>
      <c r="G42" s="54" t="s">
        <v>512</v>
      </c>
      <c r="J42" s="54" t="str">
        <f t="shared" si="1"/>
        <v>B16230</v>
      </c>
    </row>
    <row r="43" spans="1:10" hidden="1">
      <c r="A43" s="1639" t="s">
        <v>1894</v>
      </c>
      <c r="B43" s="75"/>
      <c r="C43" s="71" t="s">
        <v>2644</v>
      </c>
      <c r="D43" s="72" t="s">
        <v>2439</v>
      </c>
      <c r="E43" s="2008" t="str">
        <f t="shared" si="0"/>
        <v>B1</v>
      </c>
      <c r="F43" s="54">
        <v>50</v>
      </c>
      <c r="G43" s="54" t="s">
        <v>512</v>
      </c>
      <c r="J43" s="54" t="str">
        <f t="shared" si="1"/>
        <v>B16240</v>
      </c>
    </row>
    <row r="44" spans="1:10" hidden="1">
      <c r="A44" s="71" t="s">
        <v>1609</v>
      </c>
      <c r="B44" s="1638"/>
      <c r="C44" s="71" t="s">
        <v>2645</v>
      </c>
      <c r="D44" s="72" t="s">
        <v>2439</v>
      </c>
      <c r="E44" s="2008" t="str">
        <f t="shared" si="0"/>
        <v>B1</v>
      </c>
      <c r="F44" s="54">
        <v>50</v>
      </c>
      <c r="G44" s="54" t="s">
        <v>512</v>
      </c>
      <c r="J44" s="54" t="str">
        <f t="shared" si="1"/>
        <v>B16250</v>
      </c>
    </row>
    <row r="45" spans="1:10" hidden="1">
      <c r="A45" s="71" t="s">
        <v>321</v>
      </c>
      <c r="B45" s="1638"/>
      <c r="C45" s="71" t="s">
        <v>2646</v>
      </c>
      <c r="D45" s="72" t="s">
        <v>2439</v>
      </c>
      <c r="E45" s="2008" t="str">
        <f t="shared" si="0"/>
        <v>B1</v>
      </c>
      <c r="F45" s="54">
        <v>50</v>
      </c>
      <c r="G45" s="54" t="s">
        <v>512</v>
      </c>
      <c r="J45" s="54" t="str">
        <f t="shared" si="1"/>
        <v>B16260</v>
      </c>
    </row>
    <row r="46" spans="1:10" hidden="1">
      <c r="A46" s="71" t="s">
        <v>340</v>
      </c>
      <c r="B46" s="1638"/>
      <c r="C46" s="71" t="s">
        <v>2647</v>
      </c>
      <c r="D46" s="72" t="s">
        <v>2439</v>
      </c>
      <c r="E46" s="2008" t="str">
        <f t="shared" si="0"/>
        <v>B1</v>
      </c>
      <c r="F46" s="54">
        <v>50</v>
      </c>
      <c r="G46" s="54" t="s">
        <v>512</v>
      </c>
      <c r="J46" s="54" t="str">
        <f t="shared" si="1"/>
        <v>B16270</v>
      </c>
    </row>
    <row r="47" spans="1:10" hidden="1">
      <c r="A47" s="1639" t="s">
        <v>322</v>
      </c>
      <c r="B47" s="75"/>
      <c r="C47" s="71" t="s">
        <v>2648</v>
      </c>
      <c r="D47" s="72" t="s">
        <v>2439</v>
      </c>
      <c r="E47" s="2008" t="str">
        <f t="shared" si="0"/>
        <v>B1</v>
      </c>
      <c r="F47" s="54">
        <v>50</v>
      </c>
      <c r="G47" s="54" t="s">
        <v>512</v>
      </c>
      <c r="J47" s="54" t="str">
        <f t="shared" si="1"/>
        <v>B16280</v>
      </c>
    </row>
    <row r="48" spans="1:10" hidden="1">
      <c r="A48" s="71" t="s">
        <v>1610</v>
      </c>
      <c r="B48" s="1638"/>
      <c r="C48" s="71" t="s">
        <v>2649</v>
      </c>
      <c r="D48" s="72" t="s">
        <v>2439</v>
      </c>
      <c r="E48" s="2008" t="str">
        <f t="shared" si="0"/>
        <v>B1</v>
      </c>
      <c r="F48" s="54">
        <v>50</v>
      </c>
      <c r="G48" s="54" t="s">
        <v>512</v>
      </c>
      <c r="J48" s="54" t="str">
        <f t="shared" si="1"/>
        <v>B16300</v>
      </c>
    </row>
    <row r="49" spans="1:10" hidden="1">
      <c r="A49" s="1639" t="s">
        <v>699</v>
      </c>
      <c r="B49" s="75"/>
      <c r="C49" s="71" t="s">
        <v>2650</v>
      </c>
      <c r="D49" s="72" t="s">
        <v>2439</v>
      </c>
      <c r="E49" s="2008" t="str">
        <f t="shared" si="0"/>
        <v>B1</v>
      </c>
      <c r="F49" s="54">
        <v>50</v>
      </c>
      <c r="G49" s="54" t="s">
        <v>512</v>
      </c>
      <c r="J49" s="54" t="str">
        <f t="shared" si="1"/>
        <v>B16320</v>
      </c>
    </row>
    <row r="50" spans="1:10" hidden="1">
      <c r="A50" s="1639" t="s">
        <v>1079</v>
      </c>
      <c r="B50" s="75"/>
      <c r="C50" s="71" t="s">
        <v>2651</v>
      </c>
      <c r="D50" s="72" t="s">
        <v>2439</v>
      </c>
      <c r="E50" s="2008" t="str">
        <f t="shared" si="0"/>
        <v>B1</v>
      </c>
      <c r="F50" s="54">
        <v>50</v>
      </c>
      <c r="G50" s="54" t="s">
        <v>512</v>
      </c>
      <c r="J50" s="54" t="str">
        <f t="shared" si="1"/>
        <v>B16350</v>
      </c>
    </row>
    <row r="51" spans="1:10" hidden="1">
      <c r="A51" s="1639" t="s">
        <v>1083</v>
      </c>
      <c r="B51" s="75"/>
      <c r="C51" s="71" t="s">
        <v>2652</v>
      </c>
      <c r="D51" s="72" t="s">
        <v>2439</v>
      </c>
      <c r="E51" s="2008" t="str">
        <f t="shared" si="0"/>
        <v>B1</v>
      </c>
      <c r="F51" s="54">
        <v>50</v>
      </c>
      <c r="G51" s="54" t="s">
        <v>512</v>
      </c>
      <c r="J51" s="54" t="str">
        <f t="shared" si="1"/>
        <v>B16400</v>
      </c>
    </row>
    <row r="52" spans="1:10" hidden="1">
      <c r="A52" s="1639" t="s">
        <v>323</v>
      </c>
      <c r="B52" s="75"/>
      <c r="C52" s="71" t="s">
        <v>2653</v>
      </c>
      <c r="D52" s="72" t="s">
        <v>2439</v>
      </c>
      <c r="E52" s="2008" t="str">
        <f t="shared" si="0"/>
        <v>B1</v>
      </c>
      <c r="F52" s="54">
        <v>50</v>
      </c>
      <c r="G52" s="54" t="s">
        <v>512</v>
      </c>
      <c r="J52" s="54" t="str">
        <f t="shared" si="1"/>
        <v>B16450</v>
      </c>
    </row>
    <row r="53" spans="1:10" hidden="1">
      <c r="A53" s="1639" t="s">
        <v>1539</v>
      </c>
      <c r="B53" s="75"/>
      <c r="C53" s="71" t="s">
        <v>2654</v>
      </c>
      <c r="D53" s="72" t="s">
        <v>2439</v>
      </c>
      <c r="E53" s="2008" t="str">
        <f t="shared" si="0"/>
        <v>B1</v>
      </c>
      <c r="F53" s="54">
        <v>50</v>
      </c>
      <c r="G53" s="54" t="s">
        <v>512</v>
      </c>
      <c r="J53" s="54" t="str">
        <f t="shared" si="1"/>
        <v>B16500</v>
      </c>
    </row>
    <row r="54" spans="1:10" hidden="1">
      <c r="A54" s="1639" t="s">
        <v>1782</v>
      </c>
      <c r="B54" s="75"/>
      <c r="C54" s="71" t="s">
        <v>2655</v>
      </c>
      <c r="D54" s="72" t="s">
        <v>2439</v>
      </c>
      <c r="E54" s="2008" t="str">
        <f t="shared" si="0"/>
        <v>B1</v>
      </c>
      <c r="F54" s="54">
        <v>50</v>
      </c>
      <c r="G54" s="54" t="s">
        <v>512</v>
      </c>
      <c r="J54" s="54" t="str">
        <f t="shared" si="1"/>
        <v>B16600</v>
      </c>
    </row>
    <row r="55" spans="1:10" hidden="1">
      <c r="A55" s="71" t="s">
        <v>1892</v>
      </c>
      <c r="B55" s="1638"/>
      <c r="C55" s="71" t="s">
        <v>2656</v>
      </c>
      <c r="D55" s="72" t="s">
        <v>2439</v>
      </c>
      <c r="E55" s="2008" t="str">
        <f t="shared" si="0"/>
        <v>B1</v>
      </c>
      <c r="F55" s="54">
        <v>50</v>
      </c>
      <c r="G55" s="54" t="s">
        <v>512</v>
      </c>
      <c r="J55" s="54" t="str">
        <f t="shared" si="1"/>
        <v>B1680V</v>
      </c>
    </row>
    <row r="56" spans="1:10">
      <c r="A56" s="1639" t="s">
        <v>1891</v>
      </c>
      <c r="B56" s="75"/>
      <c r="C56" s="71" t="s">
        <v>2657</v>
      </c>
      <c r="D56" s="72" t="s">
        <v>2439</v>
      </c>
      <c r="E56" s="2008" t="str">
        <f t="shared" si="0"/>
        <v>B1</v>
      </c>
      <c r="F56" s="54">
        <v>50</v>
      </c>
      <c r="G56" s="54" t="s">
        <v>512</v>
      </c>
      <c r="J56" s="54" t="str">
        <f t="shared" si="1"/>
        <v>B16100V</v>
      </c>
    </row>
    <row r="57" spans="1:10" hidden="1">
      <c r="A57" s="71" t="s">
        <v>1783</v>
      </c>
      <c r="B57" s="1638"/>
      <c r="C57" s="71" t="s">
        <v>2658</v>
      </c>
      <c r="D57" s="72" t="s">
        <v>2439</v>
      </c>
      <c r="E57" s="2008" t="str">
        <f t="shared" si="0"/>
        <v>B1</v>
      </c>
      <c r="F57" s="54">
        <v>50</v>
      </c>
      <c r="G57" s="54" t="s">
        <v>512</v>
      </c>
      <c r="J57" s="54" t="str">
        <f t="shared" si="1"/>
        <v>B16200V</v>
      </c>
    </row>
    <row r="58" spans="1:10" hidden="1">
      <c r="A58" s="71" t="s">
        <v>1725</v>
      </c>
      <c r="B58" s="1638"/>
      <c r="C58" s="71" t="s">
        <v>2659</v>
      </c>
      <c r="D58" s="72" t="s">
        <v>2439</v>
      </c>
      <c r="E58" s="2008" t="str">
        <f t="shared" si="0"/>
        <v>B1</v>
      </c>
      <c r="F58" s="54">
        <v>50</v>
      </c>
      <c r="G58" s="54" t="s">
        <v>512</v>
      </c>
      <c r="J58" s="54" t="str">
        <f t="shared" si="1"/>
        <v>B16250V</v>
      </c>
    </row>
    <row r="59" spans="1:10" hidden="1">
      <c r="A59" s="71" t="s">
        <v>1784</v>
      </c>
      <c r="B59" s="1638"/>
      <c r="C59" s="71" t="s">
        <v>2660</v>
      </c>
      <c r="D59" s="72" t="s">
        <v>2439</v>
      </c>
      <c r="E59" s="2008" t="str">
        <f t="shared" si="0"/>
        <v>B1</v>
      </c>
      <c r="F59" s="54">
        <v>50</v>
      </c>
      <c r="G59" s="54" t="s">
        <v>512</v>
      </c>
      <c r="J59" s="54" t="str">
        <f t="shared" si="1"/>
        <v>B16300V</v>
      </c>
    </row>
    <row r="60" spans="1:10" hidden="1">
      <c r="A60" s="71" t="s">
        <v>968</v>
      </c>
      <c r="B60" s="1638"/>
      <c r="C60" s="71" t="s">
        <v>2661</v>
      </c>
      <c r="D60" s="72" t="s">
        <v>2439</v>
      </c>
      <c r="E60" s="2008" t="str">
        <f t="shared" si="0"/>
        <v>B1</v>
      </c>
      <c r="F60" s="54">
        <v>50</v>
      </c>
      <c r="G60" s="54" t="s">
        <v>512</v>
      </c>
      <c r="J60" s="54" t="str">
        <f t="shared" si="1"/>
        <v>B16350V</v>
      </c>
    </row>
    <row r="61" spans="1:10" hidden="1">
      <c r="A61" s="1639" t="s">
        <v>1781</v>
      </c>
      <c r="B61" s="75"/>
      <c r="C61" s="71" t="s">
        <v>2662</v>
      </c>
      <c r="D61" s="72" t="s">
        <v>2439</v>
      </c>
      <c r="E61" s="2008" t="str">
        <f t="shared" si="0"/>
        <v>B1</v>
      </c>
      <c r="F61" s="54">
        <v>50</v>
      </c>
      <c r="G61" s="54" t="s">
        <v>512</v>
      </c>
      <c r="J61" s="54" t="str">
        <f t="shared" si="1"/>
        <v>B16400v</v>
      </c>
    </row>
    <row r="62" spans="1:10" hidden="1">
      <c r="A62" s="71" t="s">
        <v>1168</v>
      </c>
      <c r="B62" s="1638"/>
      <c r="C62" s="71" t="s">
        <v>2663</v>
      </c>
      <c r="D62" s="72" t="s">
        <v>2439</v>
      </c>
      <c r="E62" s="2008" t="str">
        <f>LEFT(A62,2)</f>
        <v>B1</v>
      </c>
      <c r="F62" s="54">
        <v>50</v>
      </c>
      <c r="G62" s="54" t="s">
        <v>512</v>
      </c>
      <c r="J62" s="54" t="str">
        <f t="shared" si="1"/>
        <v>B16500V</v>
      </c>
    </row>
    <row r="63" spans="1:10" hidden="1">
      <c r="A63" s="71" t="s">
        <v>4820</v>
      </c>
      <c r="B63" s="1638"/>
      <c r="C63" s="71" t="s">
        <v>4821</v>
      </c>
      <c r="D63" s="72" t="s">
        <v>2439</v>
      </c>
      <c r="E63" s="2008" t="str">
        <f t="shared" si="0"/>
        <v>B1</v>
      </c>
      <c r="F63" s="54">
        <v>50</v>
      </c>
      <c r="G63" s="54" t="s">
        <v>512</v>
      </c>
      <c r="J63" s="54" t="str">
        <f t="shared" si="1"/>
        <v>B16450V</v>
      </c>
    </row>
    <row r="64" spans="1:10" hidden="1">
      <c r="A64" s="71" t="s">
        <v>1381</v>
      </c>
      <c r="B64" s="1638"/>
      <c r="C64" s="71" t="s">
        <v>2664</v>
      </c>
      <c r="D64" s="72" t="s">
        <v>2439</v>
      </c>
      <c r="E64" s="2008" t="str">
        <f>LEFT(A64,2)</f>
        <v>B1</v>
      </c>
      <c r="F64" s="54">
        <v>50</v>
      </c>
      <c r="G64" s="54" t="s">
        <v>512</v>
      </c>
      <c r="J64" s="54" t="str">
        <f>A64</f>
        <v>B16550V</v>
      </c>
    </row>
    <row r="65" spans="1:10" hidden="1">
      <c r="A65" s="71" t="s">
        <v>4962</v>
      </c>
      <c r="B65" s="1638"/>
      <c r="C65" s="71" t="s">
        <v>4992</v>
      </c>
      <c r="D65" s="72" t="s">
        <v>2439</v>
      </c>
      <c r="E65" s="2008" t="str">
        <f t="shared" si="0"/>
        <v>B1</v>
      </c>
      <c r="F65" s="54">
        <v>50</v>
      </c>
      <c r="G65" s="54" t="s">
        <v>512</v>
      </c>
      <c r="J65" s="54" t="str">
        <f t="shared" si="1"/>
        <v>B16550</v>
      </c>
    </row>
    <row r="66" spans="1:10" hidden="1">
      <c r="A66" s="71" t="s">
        <v>1380</v>
      </c>
      <c r="B66" s="1638"/>
      <c r="C66" s="71" t="s">
        <v>2665</v>
      </c>
      <c r="D66" s="72" t="s">
        <v>2439</v>
      </c>
      <c r="E66" s="2008" t="str">
        <f t="shared" si="0"/>
        <v>B1</v>
      </c>
      <c r="F66" s="54">
        <v>50</v>
      </c>
      <c r="G66" s="54" t="s">
        <v>512</v>
      </c>
      <c r="J66" s="54" t="str">
        <f t="shared" si="1"/>
        <v>B16600V</v>
      </c>
    </row>
    <row r="67" spans="1:10" hidden="1">
      <c r="A67" s="71" t="s">
        <v>1540</v>
      </c>
      <c r="B67" s="1638"/>
      <c r="C67" s="71" t="s">
        <v>2666</v>
      </c>
      <c r="D67" s="72" t="s">
        <v>2439</v>
      </c>
      <c r="E67" s="2008" t="str">
        <f t="shared" si="0"/>
        <v>B1</v>
      </c>
      <c r="F67" s="54">
        <v>50</v>
      </c>
      <c r="G67" s="54" t="s">
        <v>512</v>
      </c>
      <c r="J67" s="54" t="str">
        <f t="shared" si="1"/>
        <v>B16650V</v>
      </c>
    </row>
    <row r="68" spans="1:10" hidden="1">
      <c r="A68" s="71" t="s">
        <v>2159</v>
      </c>
      <c r="B68" s="1638"/>
      <c r="C68" s="71" t="s">
        <v>2667</v>
      </c>
      <c r="D68" s="72" t="s">
        <v>2439</v>
      </c>
      <c r="E68" s="2008" t="str">
        <f t="shared" si="0"/>
        <v>B1</v>
      </c>
      <c r="F68" s="54">
        <v>50</v>
      </c>
      <c r="G68" s="54" t="s">
        <v>512</v>
      </c>
      <c r="J68" s="54" t="str">
        <f t="shared" si="1"/>
        <v>B16700V</v>
      </c>
    </row>
    <row r="69" spans="1:10" hidden="1">
      <c r="A69" s="71" t="s">
        <v>395</v>
      </c>
      <c r="B69" s="1638"/>
      <c r="C69" s="71" t="s">
        <v>2668</v>
      </c>
      <c r="D69" s="72" t="s">
        <v>2439</v>
      </c>
      <c r="E69" s="2008" t="str">
        <f t="shared" si="0"/>
        <v>B2</v>
      </c>
      <c r="F69" s="54">
        <v>50</v>
      </c>
      <c r="G69" s="54" t="s">
        <v>512</v>
      </c>
      <c r="J69" s="54" t="str">
        <f t="shared" si="1"/>
        <v>B22260</v>
      </c>
    </row>
    <row r="70" spans="1:10" hidden="1">
      <c r="A70" s="71" t="s">
        <v>1169</v>
      </c>
      <c r="B70" s="1638"/>
      <c r="C70" s="71" t="s">
        <v>2669</v>
      </c>
      <c r="D70" s="72" t="s">
        <v>2439</v>
      </c>
      <c r="E70" s="2008" t="str">
        <f t="shared" si="0"/>
        <v>B2</v>
      </c>
      <c r="F70" s="54">
        <v>50</v>
      </c>
      <c r="G70" s="54" t="s">
        <v>512</v>
      </c>
      <c r="J70" s="54" t="str">
        <f t="shared" ref="J70:J134" si="4">A70</f>
        <v>B22450</v>
      </c>
    </row>
    <row r="71" spans="1:10" hidden="1">
      <c r="A71" s="1639" t="s">
        <v>396</v>
      </c>
      <c r="B71" s="75"/>
      <c r="C71" s="71" t="s">
        <v>2670</v>
      </c>
      <c r="D71" s="72" t="s">
        <v>2439</v>
      </c>
      <c r="E71" s="2008" t="str">
        <f t="shared" si="0"/>
        <v>B2</v>
      </c>
      <c r="F71" s="54">
        <v>50</v>
      </c>
      <c r="G71" s="54" t="s">
        <v>512</v>
      </c>
      <c r="J71" s="54" t="str">
        <f t="shared" si="4"/>
        <v>B22500</v>
      </c>
    </row>
    <row r="72" spans="1:10">
      <c r="A72" s="1639" t="s">
        <v>397</v>
      </c>
      <c r="B72" s="75"/>
      <c r="C72" s="71" t="s">
        <v>2671</v>
      </c>
      <c r="D72" s="72" t="s">
        <v>2439</v>
      </c>
      <c r="E72" s="2008" t="str">
        <f t="shared" ref="E72:E136" si="5">LEFT(A72,2)</f>
        <v>B2</v>
      </c>
      <c r="F72" s="54">
        <v>50</v>
      </c>
      <c r="G72" s="54" t="s">
        <v>512</v>
      </c>
      <c r="J72" s="54" t="str">
        <f t="shared" si="4"/>
        <v>B22550</v>
      </c>
    </row>
    <row r="73" spans="1:10" hidden="1">
      <c r="A73" s="71" t="s">
        <v>785</v>
      </c>
      <c r="B73" s="1638" t="s">
        <v>1016</v>
      </c>
      <c r="C73" s="71" t="s">
        <v>2672</v>
      </c>
      <c r="D73" s="72" t="s">
        <v>2439</v>
      </c>
      <c r="E73" s="2008" t="str">
        <f t="shared" si="5"/>
        <v>B2</v>
      </c>
      <c r="F73" s="54">
        <v>50</v>
      </c>
      <c r="G73" s="54" t="s">
        <v>512</v>
      </c>
      <c r="J73" s="54" t="str">
        <f t="shared" si="4"/>
        <v>B22600</v>
      </c>
    </row>
    <row r="74" spans="1:10" hidden="1">
      <c r="A74" s="71" t="s">
        <v>398</v>
      </c>
      <c r="B74" s="1638"/>
      <c r="C74" s="71" t="s">
        <v>2673</v>
      </c>
      <c r="D74" s="72" t="s">
        <v>2439</v>
      </c>
      <c r="E74" s="2008" t="str">
        <f t="shared" si="5"/>
        <v>B2</v>
      </c>
      <c r="F74" s="54">
        <v>50</v>
      </c>
      <c r="G74" s="54" t="s">
        <v>512</v>
      </c>
      <c r="J74" s="54" t="str">
        <f t="shared" si="4"/>
        <v>B22650</v>
      </c>
    </row>
    <row r="75" spans="1:10" hidden="1">
      <c r="A75" s="71" t="s">
        <v>1827</v>
      </c>
      <c r="B75" s="1638"/>
      <c r="C75" s="71" t="s">
        <v>2674</v>
      </c>
      <c r="D75" s="72" t="s">
        <v>2439</v>
      </c>
      <c r="E75" s="2008" t="str">
        <f t="shared" si="5"/>
        <v>B2</v>
      </c>
      <c r="F75" s="54">
        <v>50</v>
      </c>
      <c r="G75" s="54" t="s">
        <v>512</v>
      </c>
      <c r="J75" s="54" t="str">
        <f t="shared" si="4"/>
        <v>B22700</v>
      </c>
    </row>
    <row r="76" spans="1:10" hidden="1">
      <c r="A76" s="71" t="s">
        <v>721</v>
      </c>
      <c r="B76" s="1638"/>
      <c r="C76" s="71" t="s">
        <v>2675</v>
      </c>
      <c r="D76" s="72" t="s">
        <v>2439</v>
      </c>
      <c r="E76" s="2008" t="str">
        <f t="shared" si="5"/>
        <v>B2</v>
      </c>
      <c r="F76" s="54">
        <v>50</v>
      </c>
      <c r="G76" s="54" t="s">
        <v>512</v>
      </c>
      <c r="J76" s="54" t="str">
        <f t="shared" si="4"/>
        <v>B22750</v>
      </c>
    </row>
    <row r="77" spans="1:10" hidden="1">
      <c r="A77" s="71" t="s">
        <v>786</v>
      </c>
      <c r="B77" s="1638"/>
      <c r="C77" s="71" t="s">
        <v>2676</v>
      </c>
      <c r="D77" s="72" t="s">
        <v>2439</v>
      </c>
      <c r="E77" s="2008" t="str">
        <f t="shared" si="5"/>
        <v>B2</v>
      </c>
      <c r="F77" s="54">
        <v>50</v>
      </c>
      <c r="G77" s="54" t="s">
        <v>512</v>
      </c>
      <c r="J77" s="54" t="str">
        <f t="shared" si="4"/>
        <v>B22800</v>
      </c>
    </row>
    <row r="78" spans="1:10" hidden="1">
      <c r="A78" s="71" t="s">
        <v>563</v>
      </c>
      <c r="B78" s="1638"/>
      <c r="C78" s="71" t="s">
        <v>2677</v>
      </c>
      <c r="D78" s="72" t="s">
        <v>2439</v>
      </c>
      <c r="E78" s="2008" t="str">
        <f t="shared" si="5"/>
        <v>B2</v>
      </c>
      <c r="F78" s="54">
        <v>50</v>
      </c>
      <c r="G78" s="54" t="s">
        <v>512</v>
      </c>
      <c r="J78" s="54" t="str">
        <f t="shared" si="4"/>
        <v>B22850</v>
      </c>
    </row>
    <row r="79" spans="1:10">
      <c r="A79" s="71" t="s">
        <v>1787</v>
      </c>
      <c r="B79" s="1638"/>
      <c r="C79" s="71" t="s">
        <v>2678</v>
      </c>
      <c r="D79" s="72" t="s">
        <v>2439</v>
      </c>
      <c r="E79" s="2008" t="str">
        <f t="shared" si="5"/>
        <v>B2</v>
      </c>
      <c r="F79" s="54">
        <v>50</v>
      </c>
      <c r="G79" s="54" t="s">
        <v>512</v>
      </c>
      <c r="J79" s="54" t="str">
        <f t="shared" si="4"/>
        <v>B221000</v>
      </c>
    </row>
    <row r="80" spans="1:10" hidden="1">
      <c r="A80" s="71" t="s">
        <v>346</v>
      </c>
      <c r="B80" s="1638"/>
      <c r="C80" s="71" t="s">
        <v>2679</v>
      </c>
      <c r="D80" s="72" t="s">
        <v>2439</v>
      </c>
      <c r="E80" s="2008" t="str">
        <f t="shared" si="5"/>
        <v>B2</v>
      </c>
      <c r="F80" s="54">
        <v>50</v>
      </c>
      <c r="G80" s="54" t="s">
        <v>512</v>
      </c>
      <c r="J80" s="54" t="str">
        <f t="shared" si="4"/>
        <v>B22500C</v>
      </c>
    </row>
    <row r="81" spans="1:10" hidden="1">
      <c r="A81" s="71" t="s">
        <v>564</v>
      </c>
      <c r="B81" s="1638"/>
      <c r="C81" s="71" t="s">
        <v>2680</v>
      </c>
      <c r="D81" s="72" t="s">
        <v>2439</v>
      </c>
      <c r="E81" s="2008" t="str">
        <f t="shared" si="5"/>
        <v>B3</v>
      </c>
      <c r="F81" s="54">
        <v>50</v>
      </c>
      <c r="G81" s="54" t="s">
        <v>512</v>
      </c>
      <c r="J81" s="54" t="str">
        <f t="shared" si="4"/>
        <v>B30800</v>
      </c>
    </row>
    <row r="82" spans="1:10">
      <c r="A82" s="71" t="s">
        <v>565</v>
      </c>
      <c r="B82" s="1638"/>
      <c r="C82" s="71" t="s">
        <v>2681</v>
      </c>
      <c r="D82" s="72" t="s">
        <v>2439</v>
      </c>
      <c r="E82" s="2008" t="str">
        <f t="shared" si="5"/>
        <v>B3</v>
      </c>
      <c r="F82" s="54">
        <v>50</v>
      </c>
      <c r="G82" s="54" t="s">
        <v>512</v>
      </c>
      <c r="J82" s="54" t="str">
        <f t="shared" si="4"/>
        <v>B301000</v>
      </c>
    </row>
    <row r="83" spans="1:10" hidden="1">
      <c r="A83" s="71" t="s">
        <v>399</v>
      </c>
      <c r="B83" s="1638"/>
      <c r="C83" s="71" t="s">
        <v>2682</v>
      </c>
      <c r="D83" s="72" t="s">
        <v>2439</v>
      </c>
      <c r="E83" s="2008" t="str">
        <f t="shared" si="5"/>
        <v>BM</v>
      </c>
      <c r="F83" s="54">
        <v>50</v>
      </c>
      <c r="G83" s="54" t="s">
        <v>512</v>
      </c>
      <c r="J83" s="54" t="str">
        <f t="shared" si="4"/>
        <v>BM16230</v>
      </c>
    </row>
    <row r="84" spans="1:10" hidden="1">
      <c r="A84" s="71" t="s">
        <v>1061</v>
      </c>
      <c r="B84" s="1638"/>
      <c r="C84" s="71" t="s">
        <v>2683</v>
      </c>
      <c r="D84" s="72" t="s">
        <v>2439</v>
      </c>
      <c r="E84" s="2008" t="str">
        <f t="shared" si="5"/>
        <v>BM</v>
      </c>
      <c r="F84" s="54">
        <v>50</v>
      </c>
      <c r="G84" s="54" t="s">
        <v>512</v>
      </c>
      <c r="J84" s="54" t="str">
        <f t="shared" si="4"/>
        <v>BM16250</v>
      </c>
    </row>
    <row r="85" spans="1:10" hidden="1">
      <c r="A85" s="71" t="s">
        <v>417</v>
      </c>
      <c r="B85" s="1638"/>
      <c r="C85" s="71" t="s">
        <v>2684</v>
      </c>
      <c r="D85" s="72" t="s">
        <v>2439</v>
      </c>
      <c r="E85" s="2008" t="str">
        <f>LEFT(A85,2)</f>
        <v>BM</v>
      </c>
      <c r="F85" s="54">
        <v>50</v>
      </c>
      <c r="G85" s="54" t="s">
        <v>512</v>
      </c>
      <c r="J85" s="54" t="str">
        <f>A85</f>
        <v>BM16300</v>
      </c>
    </row>
    <row r="86" spans="1:10" hidden="1">
      <c r="A86" s="71" t="s">
        <v>4906</v>
      </c>
      <c r="B86" s="1638"/>
      <c r="C86" s="71" t="s">
        <v>4907</v>
      </c>
      <c r="D86" s="72" t="s">
        <v>2439</v>
      </c>
      <c r="E86" s="2008" t="str">
        <f t="shared" si="5"/>
        <v>BM</v>
      </c>
      <c r="F86" s="54">
        <v>50</v>
      </c>
      <c r="G86" s="54" t="s">
        <v>512</v>
      </c>
      <c r="J86" s="54" t="str">
        <f t="shared" si="4"/>
        <v>BM16350</v>
      </c>
    </row>
    <row r="87" spans="1:10" hidden="1">
      <c r="A87" s="71" t="s">
        <v>851</v>
      </c>
      <c r="B87" s="1638"/>
      <c r="C87" s="71" t="s">
        <v>2685</v>
      </c>
      <c r="D87" s="72" t="s">
        <v>2439</v>
      </c>
      <c r="E87" s="2008" t="str">
        <f t="shared" si="5"/>
        <v>BM</v>
      </c>
      <c r="F87" s="54">
        <v>50</v>
      </c>
      <c r="G87" s="54" t="s">
        <v>512</v>
      </c>
      <c r="J87" s="54" t="str">
        <f t="shared" si="4"/>
        <v>BMOC16250</v>
      </c>
    </row>
    <row r="88" spans="1:10" hidden="1">
      <c r="A88" s="71" t="s">
        <v>852</v>
      </c>
      <c r="B88" s="1638"/>
      <c r="C88" s="71" t="s">
        <v>2686</v>
      </c>
      <c r="D88" s="72" t="s">
        <v>2439</v>
      </c>
      <c r="E88" s="2008" t="str">
        <f t="shared" si="5"/>
        <v>BM</v>
      </c>
      <c r="F88" s="54">
        <v>50</v>
      </c>
      <c r="G88" s="54" t="s">
        <v>512</v>
      </c>
      <c r="J88" s="54" t="str">
        <f t="shared" si="4"/>
        <v>BMOC16300</v>
      </c>
    </row>
    <row r="89" spans="1:10" hidden="1">
      <c r="A89" s="1640" t="s">
        <v>2538</v>
      </c>
      <c r="B89" s="1638"/>
      <c r="C89" s="71" t="s">
        <v>2687</v>
      </c>
      <c r="D89" s="72" t="s">
        <v>2439</v>
      </c>
      <c r="E89" s="2008" t="str">
        <f t="shared" si="5"/>
        <v>Bu</v>
      </c>
      <c r="F89" s="54">
        <v>50</v>
      </c>
      <c r="G89" s="54" t="s">
        <v>512</v>
      </c>
      <c r="J89" s="54" t="str">
        <f t="shared" si="4"/>
        <v>BulonVRS + ĐO</v>
      </c>
    </row>
    <row r="90" spans="1:10" hidden="1">
      <c r="A90" s="71" t="s">
        <v>706</v>
      </c>
      <c r="B90" s="75"/>
      <c r="C90" s="71" t="s">
        <v>2688</v>
      </c>
      <c r="D90" s="72" t="s">
        <v>2555</v>
      </c>
      <c r="E90" s="2008" t="str">
        <f t="shared" si="5"/>
        <v>LD</v>
      </c>
      <c r="F90" s="54">
        <v>50</v>
      </c>
      <c r="G90" s="54" t="s">
        <v>512</v>
      </c>
      <c r="J90" s="54" t="str">
        <f t="shared" si="4"/>
        <v>LD tron</v>
      </c>
    </row>
    <row r="91" spans="1:10" hidden="1">
      <c r="A91" s="71" t="s">
        <v>1519</v>
      </c>
      <c r="B91" s="75"/>
      <c r="C91" s="71" t="s">
        <v>2689</v>
      </c>
      <c r="D91" s="72" t="s">
        <v>2555</v>
      </c>
      <c r="E91" s="2008" t="str">
        <f t="shared" si="5"/>
        <v>LD</v>
      </c>
      <c r="F91" s="54">
        <v>50</v>
      </c>
      <c r="G91" s="54" t="s">
        <v>512</v>
      </c>
      <c r="J91" s="54" t="str">
        <f t="shared" si="4"/>
        <v>LD 40</v>
      </c>
    </row>
    <row r="92" spans="1:10" hidden="1">
      <c r="A92" s="71" t="s">
        <v>1520</v>
      </c>
      <c r="B92" s="75"/>
      <c r="C92" s="71" t="s">
        <v>2690</v>
      </c>
      <c r="D92" s="72" t="s">
        <v>2555</v>
      </c>
      <c r="E92" s="2008" t="str">
        <f t="shared" si="5"/>
        <v>LD</v>
      </c>
      <c r="F92" s="54">
        <v>50</v>
      </c>
      <c r="G92" s="54" t="s">
        <v>512</v>
      </c>
      <c r="J92" s="54" t="str">
        <f t="shared" si="4"/>
        <v>LD 60</v>
      </c>
    </row>
    <row r="93" spans="1:10" hidden="1">
      <c r="A93" s="71" t="s">
        <v>30</v>
      </c>
      <c r="B93" s="1638"/>
      <c r="C93" s="71" t="s">
        <v>2691</v>
      </c>
      <c r="D93" s="70" t="s">
        <v>2385</v>
      </c>
      <c r="E93" s="2008" t="str">
        <f t="shared" si="5"/>
        <v>BA</v>
      </c>
      <c r="F93" s="54">
        <v>50</v>
      </c>
      <c r="G93" s="54" t="s">
        <v>512</v>
      </c>
      <c r="J93" s="54" t="str">
        <f t="shared" si="4"/>
        <v>BATLI</v>
      </c>
    </row>
    <row r="94" spans="1:10" hidden="1">
      <c r="A94" s="71" t="s">
        <v>6098</v>
      </c>
      <c r="B94" s="1638"/>
      <c r="C94" s="71" t="s">
        <v>2692</v>
      </c>
      <c r="D94" s="70" t="s">
        <v>2385</v>
      </c>
      <c r="E94" s="2008" t="str">
        <f t="shared" si="5"/>
        <v>BA</v>
      </c>
      <c r="F94" s="54">
        <v>50</v>
      </c>
      <c r="G94" s="54" t="s">
        <v>512</v>
      </c>
      <c r="J94" s="54" t="str">
        <f t="shared" si="4"/>
        <v>BATLA</v>
      </c>
    </row>
    <row r="95" spans="1:10" hidden="1">
      <c r="A95" s="71" t="s">
        <v>2271</v>
      </c>
      <c r="B95" s="75"/>
      <c r="C95" s="71" t="s">
        <v>4878</v>
      </c>
      <c r="D95" s="72" t="s">
        <v>2439</v>
      </c>
      <c r="E95" s="2008" t="str">
        <f t="shared" si="5"/>
        <v>BA</v>
      </c>
      <c r="F95" s="54">
        <v>50</v>
      </c>
      <c r="G95" s="54" t="s">
        <v>512</v>
      </c>
      <c r="J95" s="54" t="str">
        <f t="shared" si="4"/>
        <v>BATLL</v>
      </c>
    </row>
    <row r="96" spans="1:10" hidden="1">
      <c r="A96" s="71" t="s">
        <v>757</v>
      </c>
      <c r="B96" s="1638" t="s">
        <v>1559</v>
      </c>
      <c r="C96" s="71" t="s">
        <v>2693</v>
      </c>
      <c r="D96" s="72" t="s">
        <v>2590</v>
      </c>
      <c r="E96" s="2008" t="str">
        <f t="shared" si="5"/>
        <v>CT</v>
      </c>
      <c r="F96" s="54">
        <v>50</v>
      </c>
      <c r="G96" s="54" t="s">
        <v>512</v>
      </c>
      <c r="J96" s="54" t="str">
        <f t="shared" si="4"/>
        <v>CT25</v>
      </c>
    </row>
    <row r="97" spans="1:10" hidden="1">
      <c r="A97" s="71" t="s">
        <v>132</v>
      </c>
      <c r="B97" s="1638" t="s">
        <v>1559</v>
      </c>
      <c r="C97" s="71" t="s">
        <v>2694</v>
      </c>
      <c r="D97" s="72" t="s">
        <v>2590</v>
      </c>
      <c r="E97" s="2008" t="str">
        <f t="shared" si="5"/>
        <v>CT</v>
      </c>
      <c r="F97" s="54">
        <v>50</v>
      </c>
      <c r="G97" s="54" t="s">
        <v>512</v>
      </c>
      <c r="J97" s="54" t="str">
        <f t="shared" si="4"/>
        <v>CT3</v>
      </c>
    </row>
    <row r="98" spans="1:10">
      <c r="A98" s="71" t="s">
        <v>1430</v>
      </c>
      <c r="B98" s="1638" t="s">
        <v>1559</v>
      </c>
      <c r="C98" s="71" t="s">
        <v>1432</v>
      </c>
      <c r="D98" s="72" t="s">
        <v>2555</v>
      </c>
      <c r="E98" s="2008" t="str">
        <f t="shared" si="5"/>
        <v>co</v>
      </c>
      <c r="F98" s="54">
        <v>50</v>
      </c>
      <c r="G98" s="54" t="s">
        <v>512</v>
      </c>
      <c r="J98" s="54" t="str">
        <f t="shared" si="4"/>
        <v>cong 1</v>
      </c>
    </row>
    <row r="99" spans="1:10">
      <c r="A99" s="71" t="s">
        <v>1431</v>
      </c>
      <c r="B99" s="1638" t="s">
        <v>1559</v>
      </c>
      <c r="C99" s="71" t="s">
        <v>1433</v>
      </c>
      <c r="D99" s="72" t="s">
        <v>2555</v>
      </c>
      <c r="E99" s="2008" t="str">
        <f t="shared" si="5"/>
        <v>co</v>
      </c>
      <c r="F99" s="54">
        <v>50</v>
      </c>
      <c r="G99" s="54" t="s">
        <v>512</v>
      </c>
      <c r="J99" s="54" t="str">
        <f t="shared" si="4"/>
        <v>cong 2</v>
      </c>
    </row>
    <row r="100" spans="1:10" hidden="1">
      <c r="A100" s="71" t="s">
        <v>2246</v>
      </c>
      <c r="B100" s="1638" t="s">
        <v>1559</v>
      </c>
      <c r="C100" s="71" t="s">
        <v>2695</v>
      </c>
      <c r="D100" s="72" t="s">
        <v>2590</v>
      </c>
      <c r="E100" s="2008" t="str">
        <f t="shared" si="5"/>
        <v>CT</v>
      </c>
      <c r="F100" s="54">
        <v>50</v>
      </c>
      <c r="G100" s="54" t="s">
        <v>512</v>
      </c>
      <c r="J100" s="54" t="str">
        <f t="shared" si="4"/>
        <v>CT5</v>
      </c>
    </row>
    <row r="101" spans="1:10" hidden="1">
      <c r="A101" s="71" t="s">
        <v>1627</v>
      </c>
      <c r="B101" s="75"/>
      <c r="C101" s="71" t="s">
        <v>2696</v>
      </c>
      <c r="D101" s="72" t="s">
        <v>2697</v>
      </c>
      <c r="E101" s="2008" t="str">
        <f t="shared" si="5"/>
        <v>Mo</v>
      </c>
      <c r="F101" s="54">
        <v>50</v>
      </c>
      <c r="G101" s="54" t="s">
        <v>512</v>
      </c>
      <c r="J101" s="54" t="str">
        <f t="shared" si="4"/>
        <v>MongTB</v>
      </c>
    </row>
    <row r="102" spans="1:10" hidden="1">
      <c r="A102" s="1639" t="s">
        <v>1552</v>
      </c>
      <c r="B102" s="75"/>
      <c r="C102" s="71" t="s">
        <v>2698</v>
      </c>
      <c r="D102" s="72" t="s">
        <v>2248</v>
      </c>
      <c r="E102" s="2008" t="str">
        <f t="shared" si="5"/>
        <v>M1</v>
      </c>
      <c r="F102" s="54">
        <v>12</v>
      </c>
      <c r="G102" s="54" t="s">
        <v>512</v>
      </c>
      <c r="J102" s="54" t="str">
        <f t="shared" si="4"/>
        <v>M11</v>
      </c>
    </row>
    <row r="103" spans="1:10" hidden="1">
      <c r="A103" s="1639" t="s">
        <v>2247</v>
      </c>
      <c r="B103" s="75"/>
      <c r="C103" s="71" t="s">
        <v>2699</v>
      </c>
      <c r="D103" s="72" t="s">
        <v>2248</v>
      </c>
      <c r="E103" s="2008" t="str">
        <f t="shared" si="5"/>
        <v>M2</v>
      </c>
      <c r="F103" s="54">
        <v>12</v>
      </c>
      <c r="G103" s="54" t="s">
        <v>512</v>
      </c>
      <c r="J103" s="54" t="str">
        <f t="shared" si="4"/>
        <v>M22</v>
      </c>
    </row>
    <row r="104" spans="1:10" hidden="1">
      <c r="A104" s="1639" t="s">
        <v>1033</v>
      </c>
      <c r="B104" s="75"/>
      <c r="C104" s="71" t="s">
        <v>2700</v>
      </c>
      <c r="D104" s="72" t="s">
        <v>2248</v>
      </c>
      <c r="E104" s="2008" t="str">
        <f t="shared" si="5"/>
        <v>M2</v>
      </c>
      <c r="F104" s="54">
        <v>12</v>
      </c>
      <c r="G104" s="54" t="s">
        <v>512</v>
      </c>
      <c r="J104" s="54" t="str">
        <f t="shared" si="4"/>
        <v>M25</v>
      </c>
    </row>
    <row r="105" spans="1:10" hidden="1">
      <c r="A105" s="1639" t="s">
        <v>612</v>
      </c>
      <c r="B105" s="75"/>
      <c r="C105" s="71" t="s">
        <v>2701</v>
      </c>
      <c r="D105" s="72" t="s">
        <v>2248</v>
      </c>
      <c r="E105" s="2008" t="str">
        <f t="shared" si="5"/>
        <v>M3</v>
      </c>
      <c r="F105" s="54">
        <v>12</v>
      </c>
      <c r="G105" s="54" t="s">
        <v>512</v>
      </c>
      <c r="J105" s="54" t="str">
        <f t="shared" si="4"/>
        <v>M38</v>
      </c>
    </row>
    <row r="106" spans="1:10" hidden="1">
      <c r="A106" s="71" t="s">
        <v>242</v>
      </c>
      <c r="B106" s="75"/>
      <c r="C106" s="71" t="s">
        <v>2702</v>
      </c>
      <c r="D106" s="72" t="s">
        <v>2703</v>
      </c>
      <c r="E106" s="2008" t="str">
        <f t="shared" si="5"/>
        <v>MT</v>
      </c>
      <c r="F106" s="54">
        <v>50</v>
      </c>
      <c r="G106" s="54" t="s">
        <v>512</v>
      </c>
      <c r="J106" s="54" t="str">
        <f t="shared" si="4"/>
        <v>MTBU</v>
      </c>
    </row>
    <row r="107" spans="1:10" hidden="1">
      <c r="A107" s="1639" t="s">
        <v>1214</v>
      </c>
      <c r="B107" s="75"/>
      <c r="C107" s="71" t="s">
        <v>2704</v>
      </c>
      <c r="D107" s="72" t="s">
        <v>2248</v>
      </c>
      <c r="E107" s="2008" t="str">
        <f t="shared" si="5"/>
        <v>M5</v>
      </c>
      <c r="F107" s="54">
        <v>12</v>
      </c>
      <c r="G107" s="54" t="s">
        <v>512</v>
      </c>
      <c r="J107" s="54" t="str">
        <f t="shared" si="4"/>
        <v>M50</v>
      </c>
    </row>
    <row r="108" spans="1:10" hidden="1">
      <c r="A108" s="71" t="s">
        <v>272</v>
      </c>
      <c r="B108" s="75"/>
      <c r="C108" s="71" t="s">
        <v>2705</v>
      </c>
      <c r="D108" s="72" t="s">
        <v>2532</v>
      </c>
      <c r="E108" s="2008" t="str">
        <f t="shared" si="5"/>
        <v>XL</v>
      </c>
      <c r="F108" s="54">
        <v>10</v>
      </c>
      <c r="G108" s="54" t="s">
        <v>512</v>
      </c>
      <c r="J108" s="54" t="str">
        <f t="shared" si="4"/>
        <v>XLPE22</v>
      </c>
    </row>
    <row r="109" spans="1:10" hidden="1">
      <c r="A109" s="71" t="s">
        <v>697</v>
      </c>
      <c r="B109" s="75"/>
      <c r="C109" s="71" t="s">
        <v>2706</v>
      </c>
      <c r="D109" s="72" t="s">
        <v>2532</v>
      </c>
      <c r="E109" s="2008" t="str">
        <f t="shared" si="5"/>
        <v>XL</v>
      </c>
      <c r="F109" s="54">
        <v>10</v>
      </c>
      <c r="G109" s="54" t="s">
        <v>512</v>
      </c>
      <c r="J109" s="54" t="str">
        <f t="shared" si="4"/>
        <v>XLPE25</v>
      </c>
    </row>
    <row r="110" spans="1:10" hidden="1">
      <c r="A110" s="71" t="s">
        <v>1736</v>
      </c>
      <c r="B110" s="75"/>
      <c r="C110" s="71" t="s">
        <v>2707</v>
      </c>
      <c r="D110" s="72" t="s">
        <v>2532</v>
      </c>
      <c r="E110" s="2008" t="str">
        <f t="shared" si="5"/>
        <v>XL</v>
      </c>
      <c r="F110" s="54">
        <v>10</v>
      </c>
      <c r="G110" s="54" t="s">
        <v>512</v>
      </c>
      <c r="J110" s="54" t="str">
        <f t="shared" si="4"/>
        <v>XLPE35</v>
      </c>
    </row>
    <row r="111" spans="1:10" hidden="1">
      <c r="A111" s="71" t="s">
        <v>271</v>
      </c>
      <c r="B111" s="75"/>
      <c r="C111" s="71" t="s">
        <v>2708</v>
      </c>
      <c r="D111" s="72" t="s">
        <v>2532</v>
      </c>
      <c r="E111" s="2008" t="str">
        <f t="shared" si="5"/>
        <v>XL</v>
      </c>
      <c r="F111" s="54">
        <v>10</v>
      </c>
      <c r="G111" s="54" t="s">
        <v>512</v>
      </c>
      <c r="J111" s="54" t="str">
        <f t="shared" si="4"/>
        <v>XLPE50</v>
      </c>
    </row>
    <row r="112" spans="1:10" hidden="1">
      <c r="A112" s="71" t="s">
        <v>270</v>
      </c>
      <c r="B112" s="75"/>
      <c r="C112" s="71" t="s">
        <v>2709</v>
      </c>
      <c r="D112" s="72" t="s">
        <v>2532</v>
      </c>
      <c r="E112" s="2008" t="str">
        <f t="shared" si="5"/>
        <v>XL</v>
      </c>
      <c r="F112" s="54">
        <v>10</v>
      </c>
      <c r="G112" s="54" t="s">
        <v>512</v>
      </c>
      <c r="J112" s="54" t="str">
        <f t="shared" si="4"/>
        <v>XLPE70</v>
      </c>
    </row>
    <row r="113" spans="1:10" hidden="1">
      <c r="A113" s="71" t="s">
        <v>1832</v>
      </c>
      <c r="B113" s="75"/>
      <c r="C113" s="71" t="s">
        <v>2710</v>
      </c>
      <c r="D113" s="72" t="s">
        <v>2532</v>
      </c>
      <c r="E113" s="2008" t="str">
        <f t="shared" si="5"/>
        <v>XL</v>
      </c>
      <c r="F113" s="54">
        <v>10</v>
      </c>
      <c r="G113" s="54" t="s">
        <v>512</v>
      </c>
      <c r="J113" s="54" t="str">
        <f t="shared" si="4"/>
        <v>XLPE95</v>
      </c>
    </row>
    <row r="114" spans="1:10" hidden="1">
      <c r="A114" s="71" t="s">
        <v>601</v>
      </c>
      <c r="B114" s="75"/>
      <c r="C114" s="71" t="s">
        <v>2711</v>
      </c>
      <c r="D114" s="72" t="s">
        <v>2532</v>
      </c>
      <c r="E114" s="2008" t="str">
        <f t="shared" si="5"/>
        <v>XL</v>
      </c>
      <c r="F114" s="54">
        <v>10</v>
      </c>
      <c r="G114" s="54" t="s">
        <v>512</v>
      </c>
      <c r="J114" s="54" t="str">
        <f t="shared" si="4"/>
        <v>XLPE120</v>
      </c>
    </row>
    <row r="115" spans="1:10" hidden="1">
      <c r="A115" s="71" t="s">
        <v>1468</v>
      </c>
      <c r="B115" s="75"/>
      <c r="C115" s="71" t="s">
        <v>2712</v>
      </c>
      <c r="D115" s="72" t="s">
        <v>2532</v>
      </c>
      <c r="E115" s="2008" t="str">
        <f t="shared" si="5"/>
        <v>XL</v>
      </c>
      <c r="F115" s="54">
        <v>10</v>
      </c>
      <c r="G115" s="54" t="s">
        <v>512</v>
      </c>
      <c r="J115" s="54" t="str">
        <f t="shared" si="4"/>
        <v>XLPE150</v>
      </c>
    </row>
    <row r="116" spans="1:10" hidden="1">
      <c r="A116" s="71" t="s">
        <v>1972</v>
      </c>
      <c r="B116" s="75"/>
      <c r="C116" s="71" t="s">
        <v>2713</v>
      </c>
      <c r="D116" s="72" t="s">
        <v>2532</v>
      </c>
      <c r="E116" s="2008" t="str">
        <f t="shared" si="5"/>
        <v>XL</v>
      </c>
      <c r="F116" s="54">
        <v>10</v>
      </c>
      <c r="G116" s="54" t="s">
        <v>512</v>
      </c>
      <c r="J116" s="54" t="str">
        <f t="shared" si="4"/>
        <v>XLPE185</v>
      </c>
    </row>
    <row r="117" spans="1:10" hidden="1">
      <c r="A117" s="71" t="s">
        <v>1500</v>
      </c>
      <c r="B117" s="75"/>
      <c r="C117" s="71" t="s">
        <v>2714</v>
      </c>
      <c r="D117" s="72" t="s">
        <v>2532</v>
      </c>
      <c r="E117" s="2008" t="str">
        <f t="shared" si="5"/>
        <v>XL</v>
      </c>
      <c r="F117" s="54">
        <v>10</v>
      </c>
      <c r="G117" s="54" t="s">
        <v>512</v>
      </c>
      <c r="J117" s="54" t="str">
        <f t="shared" si="4"/>
        <v>XLPE240</v>
      </c>
    </row>
    <row r="118" spans="1:10" hidden="1">
      <c r="A118" s="71" t="s">
        <v>1771</v>
      </c>
      <c r="B118" s="75"/>
      <c r="C118" s="71" t="s">
        <v>2715</v>
      </c>
      <c r="D118" s="72" t="s">
        <v>2532</v>
      </c>
      <c r="E118" s="2008" t="str">
        <f t="shared" si="5"/>
        <v>XL</v>
      </c>
      <c r="F118" s="54">
        <v>10</v>
      </c>
      <c r="G118" s="54" t="s">
        <v>512</v>
      </c>
      <c r="J118" s="54" t="str">
        <f t="shared" si="4"/>
        <v>XLPE250</v>
      </c>
    </row>
    <row r="119" spans="1:10" hidden="1">
      <c r="A119" s="71" t="s">
        <v>1737</v>
      </c>
      <c r="B119" s="75"/>
      <c r="C119" s="71" t="s">
        <v>2716</v>
      </c>
      <c r="D119" s="72" t="s">
        <v>2532</v>
      </c>
      <c r="E119" s="2008" t="str">
        <f t="shared" si="5"/>
        <v>XL</v>
      </c>
      <c r="F119" s="54">
        <v>15</v>
      </c>
      <c r="G119" s="54" t="s">
        <v>512</v>
      </c>
      <c r="J119" s="54" t="str">
        <f t="shared" si="4"/>
        <v>XLPE25A</v>
      </c>
    </row>
    <row r="120" spans="1:10" hidden="1">
      <c r="A120" s="71" t="s">
        <v>54</v>
      </c>
      <c r="B120" s="75"/>
      <c r="C120" s="71" t="s">
        <v>2717</v>
      </c>
      <c r="D120" s="72" t="s">
        <v>2532</v>
      </c>
      <c r="E120" s="2008" t="str">
        <f t="shared" si="5"/>
        <v>XL</v>
      </c>
      <c r="F120" s="54">
        <v>15</v>
      </c>
      <c r="G120" s="54" t="s">
        <v>512</v>
      </c>
      <c r="J120" s="54" t="str">
        <f t="shared" si="4"/>
        <v>XLPE35A</v>
      </c>
    </row>
    <row r="121" spans="1:10" hidden="1">
      <c r="A121" s="71" t="s">
        <v>55</v>
      </c>
      <c r="B121" s="75"/>
      <c r="C121" s="71" t="s">
        <v>2718</v>
      </c>
      <c r="D121" s="72" t="s">
        <v>2532</v>
      </c>
      <c r="E121" s="2008" t="str">
        <f t="shared" si="5"/>
        <v>XL</v>
      </c>
      <c r="F121" s="54">
        <v>15</v>
      </c>
      <c r="G121" s="54" t="s">
        <v>512</v>
      </c>
      <c r="J121" s="54" t="str">
        <f t="shared" si="4"/>
        <v>XLPE50A</v>
      </c>
    </row>
    <row r="122" spans="1:10" hidden="1">
      <c r="A122" s="71" t="s">
        <v>56</v>
      </c>
      <c r="B122" s="75"/>
      <c r="C122" s="71" t="s">
        <v>2719</v>
      </c>
      <c r="D122" s="72" t="s">
        <v>2532</v>
      </c>
      <c r="E122" s="2008" t="str">
        <f t="shared" si="5"/>
        <v>XL</v>
      </c>
      <c r="F122" s="54">
        <v>15</v>
      </c>
      <c r="G122" s="54" t="s">
        <v>512</v>
      </c>
      <c r="J122" s="54" t="str">
        <f t="shared" si="4"/>
        <v>XLPE70A</v>
      </c>
    </row>
    <row r="123" spans="1:10" hidden="1">
      <c r="A123" s="71" t="s">
        <v>57</v>
      </c>
      <c r="B123" s="75"/>
      <c r="C123" s="71" t="s">
        <v>2720</v>
      </c>
      <c r="D123" s="72" t="s">
        <v>2532</v>
      </c>
      <c r="E123" s="2008" t="str">
        <f t="shared" si="5"/>
        <v>XL</v>
      </c>
      <c r="F123" s="54">
        <v>15</v>
      </c>
      <c r="G123" s="54" t="s">
        <v>512</v>
      </c>
      <c r="J123" s="54" t="str">
        <f t="shared" si="4"/>
        <v>XLPE95A</v>
      </c>
    </row>
    <row r="124" spans="1:10" hidden="1">
      <c r="A124" s="71" t="s">
        <v>657</v>
      </c>
      <c r="B124" s="75"/>
      <c r="C124" s="71" t="s">
        <v>2721</v>
      </c>
      <c r="D124" s="72" t="s">
        <v>2532</v>
      </c>
      <c r="E124" s="2008" t="str">
        <f t="shared" si="5"/>
        <v>XL</v>
      </c>
      <c r="F124" s="54">
        <v>15</v>
      </c>
      <c r="G124" s="54" t="s">
        <v>512</v>
      </c>
      <c r="J124" s="54" t="str">
        <f t="shared" si="4"/>
        <v>XLPE120A</v>
      </c>
    </row>
    <row r="125" spans="1:10" hidden="1">
      <c r="A125" s="71" t="s">
        <v>1032</v>
      </c>
      <c r="B125" s="75"/>
      <c r="C125" s="71" t="s">
        <v>2722</v>
      </c>
      <c r="D125" s="72" t="s">
        <v>2532</v>
      </c>
      <c r="E125" s="2008" t="str">
        <f t="shared" si="5"/>
        <v>XL</v>
      </c>
      <c r="F125" s="54">
        <v>15</v>
      </c>
      <c r="G125" s="54" t="s">
        <v>512</v>
      </c>
      <c r="J125" s="54" t="str">
        <f t="shared" si="4"/>
        <v>XLPE150A</v>
      </c>
    </row>
    <row r="126" spans="1:10" hidden="1">
      <c r="A126" s="71" t="s">
        <v>1031</v>
      </c>
      <c r="B126" s="75"/>
      <c r="C126" s="71" t="s">
        <v>2723</v>
      </c>
      <c r="D126" s="72" t="s">
        <v>2532</v>
      </c>
      <c r="E126" s="2008" t="str">
        <f t="shared" si="5"/>
        <v>XL</v>
      </c>
      <c r="F126" s="54">
        <v>15</v>
      </c>
      <c r="G126" s="54" t="s">
        <v>512</v>
      </c>
      <c r="J126" s="54" t="str">
        <f t="shared" si="4"/>
        <v>XLPE185A</v>
      </c>
    </row>
    <row r="127" spans="1:10" hidden="1">
      <c r="A127" s="71" t="s">
        <v>1794</v>
      </c>
      <c r="B127" s="75"/>
      <c r="C127" s="71" t="s">
        <v>2724</v>
      </c>
      <c r="D127" s="72" t="s">
        <v>2532</v>
      </c>
      <c r="E127" s="2008" t="str">
        <f t="shared" si="5"/>
        <v>XL</v>
      </c>
      <c r="F127" s="54">
        <v>15</v>
      </c>
      <c r="G127" s="54" t="s">
        <v>512</v>
      </c>
      <c r="J127" s="54" t="str">
        <f t="shared" si="4"/>
        <v>XLPE240A</v>
      </c>
    </row>
    <row r="128" spans="1:10" hidden="1">
      <c r="A128" s="71" t="s">
        <v>998</v>
      </c>
      <c r="B128" s="75"/>
      <c r="C128" s="71" t="s">
        <v>2725</v>
      </c>
      <c r="D128" s="72" t="s">
        <v>2532</v>
      </c>
      <c r="E128" s="2008" t="str">
        <f t="shared" si="5"/>
        <v>XL</v>
      </c>
      <c r="F128" s="54">
        <v>14</v>
      </c>
      <c r="G128" s="54" t="s">
        <v>512</v>
      </c>
      <c r="J128" s="54" t="str">
        <f t="shared" si="4"/>
        <v>XLPE211HT</v>
      </c>
    </row>
    <row r="129" spans="1:10" hidden="1">
      <c r="A129" s="71" t="s">
        <v>1081</v>
      </c>
      <c r="B129" s="75"/>
      <c r="C129" s="71" t="s">
        <v>2726</v>
      </c>
      <c r="D129" s="72" t="s">
        <v>2532</v>
      </c>
      <c r="E129" s="2008" t="str">
        <f t="shared" si="5"/>
        <v>XL</v>
      </c>
      <c r="F129" s="54">
        <v>14</v>
      </c>
      <c r="G129" s="54" t="s">
        <v>512</v>
      </c>
      <c r="J129" s="54" t="str">
        <f t="shared" si="4"/>
        <v>XLPE216HT</v>
      </c>
    </row>
    <row r="130" spans="1:10" hidden="1">
      <c r="A130" s="71" t="s">
        <v>963</v>
      </c>
      <c r="B130" s="75"/>
      <c r="C130" s="71" t="s">
        <v>2727</v>
      </c>
      <c r="D130" s="72" t="s">
        <v>2532</v>
      </c>
      <c r="E130" s="2008" t="str">
        <f t="shared" si="5"/>
        <v>XL</v>
      </c>
      <c r="F130" s="54">
        <v>14</v>
      </c>
      <c r="G130" s="54" t="s">
        <v>512</v>
      </c>
      <c r="J130" s="54" t="str">
        <f t="shared" si="4"/>
        <v>XLPE316HT</v>
      </c>
    </row>
    <row r="131" spans="1:10" hidden="1">
      <c r="A131" s="71" t="s">
        <v>526</v>
      </c>
      <c r="B131" s="75"/>
      <c r="C131" s="71" t="s">
        <v>2728</v>
      </c>
      <c r="D131" s="72" t="s">
        <v>2532</v>
      </c>
      <c r="E131" s="2008" t="str">
        <f t="shared" si="5"/>
        <v>XL</v>
      </c>
      <c r="F131" s="54">
        <v>14</v>
      </c>
      <c r="G131" s="54" t="s">
        <v>512</v>
      </c>
      <c r="J131" s="54" t="str">
        <f t="shared" si="4"/>
        <v>XLPE350HT</v>
      </c>
    </row>
    <row r="132" spans="1:10" hidden="1">
      <c r="A132" s="71" t="s">
        <v>999</v>
      </c>
      <c r="B132" s="75"/>
      <c r="C132" s="71" t="s">
        <v>2729</v>
      </c>
      <c r="D132" s="72" t="s">
        <v>2532</v>
      </c>
      <c r="E132" s="2008" t="str">
        <f t="shared" si="5"/>
        <v>XL</v>
      </c>
      <c r="F132" s="54">
        <v>14</v>
      </c>
      <c r="G132" s="54" t="s">
        <v>512</v>
      </c>
      <c r="J132" s="54" t="str">
        <f t="shared" si="4"/>
        <v>XLPE416HT</v>
      </c>
    </row>
    <row r="133" spans="1:10" hidden="1">
      <c r="A133" s="71" t="s">
        <v>673</v>
      </c>
      <c r="B133" s="75"/>
      <c r="C133" s="71" t="s">
        <v>2730</v>
      </c>
      <c r="D133" s="72" t="s">
        <v>2532</v>
      </c>
      <c r="E133" s="2008" t="str">
        <f t="shared" si="5"/>
        <v>XL</v>
      </c>
      <c r="F133" s="54">
        <v>14</v>
      </c>
      <c r="G133" s="54" t="s">
        <v>512</v>
      </c>
      <c r="J133" s="54" t="str">
        <f t="shared" si="4"/>
        <v>XLPE316+10HT</v>
      </c>
    </row>
    <row r="134" spans="1:10" hidden="1">
      <c r="A134" s="71" t="s">
        <v>1366</v>
      </c>
      <c r="B134" s="75"/>
      <c r="C134" s="71" t="s">
        <v>2731</v>
      </c>
      <c r="D134" s="72" t="s">
        <v>2532</v>
      </c>
      <c r="E134" s="2008" t="str">
        <f t="shared" si="5"/>
        <v>XL</v>
      </c>
      <c r="F134" s="54">
        <v>14</v>
      </c>
      <c r="G134" s="54" t="s">
        <v>512</v>
      </c>
      <c r="J134" s="54" t="str">
        <f t="shared" si="4"/>
        <v>XLPE350+35HT</v>
      </c>
    </row>
    <row r="135" spans="1:10" hidden="1">
      <c r="A135" s="71" t="s">
        <v>875</v>
      </c>
      <c r="B135" s="75"/>
      <c r="C135" s="71" t="s">
        <v>2732</v>
      </c>
      <c r="D135" s="72" t="s">
        <v>2532</v>
      </c>
      <c r="E135" s="2008" t="str">
        <f t="shared" si="5"/>
        <v>XL</v>
      </c>
      <c r="F135" s="54">
        <v>14</v>
      </c>
      <c r="G135" s="54" t="s">
        <v>512</v>
      </c>
      <c r="J135" s="54" t="str">
        <f t="shared" ref="J135:J201" si="6">A135</f>
        <v>XLPE370+50HT</v>
      </c>
    </row>
    <row r="136" spans="1:10" hidden="1">
      <c r="A136" s="71" t="s">
        <v>407</v>
      </c>
      <c r="B136" s="75"/>
      <c r="C136" s="71" t="s">
        <v>2733</v>
      </c>
      <c r="D136" s="72" t="s">
        <v>2532</v>
      </c>
      <c r="E136" s="2008" t="str">
        <f t="shared" si="5"/>
        <v>XL</v>
      </c>
      <c r="F136" s="54">
        <v>14</v>
      </c>
      <c r="G136" s="54" t="s">
        <v>512</v>
      </c>
      <c r="J136" s="54" t="str">
        <f t="shared" si="6"/>
        <v>XLPE395+50HT</v>
      </c>
    </row>
    <row r="137" spans="1:10" hidden="1">
      <c r="A137" s="71" t="s">
        <v>408</v>
      </c>
      <c r="B137" s="75"/>
      <c r="C137" s="71" t="s">
        <v>2734</v>
      </c>
      <c r="D137" s="72" t="s">
        <v>2532</v>
      </c>
      <c r="E137" s="2008" t="str">
        <f t="shared" ref="E137:E204" si="7">LEFT(A137,2)</f>
        <v>XL</v>
      </c>
      <c r="F137" s="54">
        <v>14</v>
      </c>
      <c r="G137" s="54" t="s">
        <v>512</v>
      </c>
      <c r="J137" s="54" t="str">
        <f t="shared" si="6"/>
        <v>XLPE3120+70HT</v>
      </c>
    </row>
    <row r="138" spans="1:10" hidden="1">
      <c r="A138" s="71" t="s">
        <v>409</v>
      </c>
      <c r="B138" s="75"/>
      <c r="C138" s="71" t="s">
        <v>2735</v>
      </c>
      <c r="D138" s="72" t="s">
        <v>2532</v>
      </c>
      <c r="E138" s="2008" t="str">
        <f t="shared" si="7"/>
        <v>XL</v>
      </c>
      <c r="F138" s="54">
        <v>14</v>
      </c>
      <c r="G138" s="54" t="s">
        <v>512</v>
      </c>
      <c r="J138" s="54" t="str">
        <f t="shared" si="6"/>
        <v>XLPE3150+95HT</v>
      </c>
    </row>
    <row r="139" spans="1:10" hidden="1">
      <c r="A139" s="71" t="s">
        <v>410</v>
      </c>
      <c r="B139" s="75"/>
      <c r="C139" s="71" t="s">
        <v>2736</v>
      </c>
      <c r="D139" s="72" t="s">
        <v>2532</v>
      </c>
      <c r="E139" s="2008" t="str">
        <f t="shared" si="7"/>
        <v>XL</v>
      </c>
      <c r="F139" s="54">
        <v>14</v>
      </c>
      <c r="G139" s="54" t="s">
        <v>512</v>
      </c>
      <c r="J139" s="54" t="str">
        <f t="shared" si="6"/>
        <v>XLPE3185+120HT</v>
      </c>
    </row>
    <row r="140" spans="1:10" hidden="1">
      <c r="A140" s="71" t="s">
        <v>1365</v>
      </c>
      <c r="B140" s="75"/>
      <c r="C140" s="71" t="s">
        <v>2737</v>
      </c>
      <c r="D140" s="72" t="s">
        <v>2532</v>
      </c>
      <c r="E140" s="2008" t="str">
        <f>LEFT(A140,2)</f>
        <v>XL</v>
      </c>
      <c r="F140" s="54">
        <v>14</v>
      </c>
      <c r="G140" s="54" t="s">
        <v>512</v>
      </c>
      <c r="J140" s="54" t="str">
        <f>A140</f>
        <v>XLPE350+35DHT</v>
      </c>
    </row>
    <row r="141" spans="1:10" hidden="1">
      <c r="A141" s="71" t="s">
        <v>4898</v>
      </c>
      <c r="B141" s="75"/>
      <c r="C141" s="71" t="s">
        <v>4899</v>
      </c>
      <c r="D141" s="72" t="s">
        <v>2532</v>
      </c>
      <c r="E141" s="2008" t="str">
        <f t="shared" si="7"/>
        <v>XL</v>
      </c>
      <c r="F141" s="54">
        <v>14</v>
      </c>
      <c r="G141" s="54" t="s">
        <v>512</v>
      </c>
      <c r="J141" s="54" t="str">
        <f t="shared" si="6"/>
        <v>XLPE370+35DHT</v>
      </c>
    </row>
    <row r="142" spans="1:10" hidden="1">
      <c r="A142" s="71" t="s">
        <v>1696</v>
      </c>
      <c r="B142" s="75"/>
      <c r="C142" s="71" t="s">
        <v>2738</v>
      </c>
      <c r="D142" s="72" t="s">
        <v>2532</v>
      </c>
      <c r="E142" s="2008" t="str">
        <f t="shared" si="7"/>
        <v>XL</v>
      </c>
      <c r="F142" s="54">
        <v>14</v>
      </c>
      <c r="G142" s="54" t="s">
        <v>512</v>
      </c>
      <c r="J142" s="54" t="str">
        <f t="shared" si="6"/>
        <v>XLPE325D</v>
      </c>
    </row>
    <row r="143" spans="1:10" hidden="1">
      <c r="A143" s="71" t="s">
        <v>470</v>
      </c>
      <c r="B143" s="75"/>
      <c r="C143" s="71" t="s">
        <v>2739</v>
      </c>
      <c r="D143" s="72" t="s">
        <v>2532</v>
      </c>
      <c r="E143" s="2008" t="str">
        <f t="shared" si="7"/>
        <v>XL</v>
      </c>
      <c r="F143" s="54">
        <v>14</v>
      </c>
      <c r="G143" s="54" t="s">
        <v>512</v>
      </c>
      <c r="J143" s="54" t="str">
        <f t="shared" si="6"/>
        <v>XLPE350D</v>
      </c>
    </row>
    <row r="144" spans="1:10" hidden="1">
      <c r="A144" s="71" t="s">
        <v>1694</v>
      </c>
      <c r="B144" s="75"/>
      <c r="C144" s="71" t="s">
        <v>2740</v>
      </c>
      <c r="D144" s="72" t="s">
        <v>2532</v>
      </c>
      <c r="E144" s="2008" t="str">
        <f t="shared" si="7"/>
        <v>XL</v>
      </c>
      <c r="F144" s="54">
        <v>14</v>
      </c>
      <c r="G144" s="54" t="s">
        <v>512</v>
      </c>
      <c r="J144" s="54" t="str">
        <f t="shared" si="6"/>
        <v>XLPE370D</v>
      </c>
    </row>
    <row r="145" spans="1:10" hidden="1">
      <c r="A145" s="71" t="s">
        <v>1695</v>
      </c>
      <c r="B145" s="75"/>
      <c r="C145" s="71" t="s">
        <v>2741</v>
      </c>
      <c r="D145" s="72" t="s">
        <v>2532</v>
      </c>
      <c r="E145" s="2008" t="str">
        <f t="shared" si="7"/>
        <v>XL</v>
      </c>
      <c r="F145" s="54">
        <v>14</v>
      </c>
      <c r="G145" s="54" t="s">
        <v>512</v>
      </c>
      <c r="J145" s="54" t="str">
        <f t="shared" si="6"/>
        <v>XLPE395D</v>
      </c>
    </row>
    <row r="146" spans="1:10" hidden="1">
      <c r="A146" s="71" t="s">
        <v>1700</v>
      </c>
      <c r="B146" s="75"/>
      <c r="C146" s="71" t="s">
        <v>2742</v>
      </c>
      <c r="D146" s="72" t="s">
        <v>2532</v>
      </c>
      <c r="E146" s="2008" t="str">
        <f t="shared" si="7"/>
        <v>XL</v>
      </c>
      <c r="F146" s="54">
        <v>14</v>
      </c>
      <c r="G146" s="54" t="s">
        <v>512</v>
      </c>
      <c r="J146" s="54" t="str">
        <f t="shared" si="6"/>
        <v>XLPE3120D</v>
      </c>
    </row>
    <row r="147" spans="1:10" hidden="1">
      <c r="A147" s="71" t="s">
        <v>1698</v>
      </c>
      <c r="B147" s="75"/>
      <c r="C147" s="71" t="s">
        <v>2743</v>
      </c>
      <c r="D147" s="72" t="s">
        <v>2532</v>
      </c>
      <c r="E147" s="2008" t="str">
        <f t="shared" si="7"/>
        <v>XL</v>
      </c>
      <c r="F147" s="54">
        <v>14</v>
      </c>
      <c r="G147" s="54" t="s">
        <v>512</v>
      </c>
      <c r="J147" s="54" t="str">
        <f t="shared" si="6"/>
        <v>XLPE3150D</v>
      </c>
    </row>
    <row r="148" spans="1:10" hidden="1">
      <c r="A148" s="71" t="s">
        <v>1697</v>
      </c>
      <c r="B148" s="75"/>
      <c r="C148" s="71" t="s">
        <v>2744</v>
      </c>
      <c r="D148" s="72" t="s">
        <v>2532</v>
      </c>
      <c r="E148" s="2008" t="str">
        <f t="shared" si="7"/>
        <v>XL</v>
      </c>
      <c r="F148" s="54">
        <v>14</v>
      </c>
      <c r="G148" s="54" t="s">
        <v>512</v>
      </c>
      <c r="J148" s="54" t="str">
        <f t="shared" si="6"/>
        <v>XLPE3185D</v>
      </c>
    </row>
    <row r="149" spans="1:10" hidden="1">
      <c r="A149" s="71" t="s">
        <v>1699</v>
      </c>
      <c r="B149" s="75"/>
      <c r="C149" s="71" t="s">
        <v>2745</v>
      </c>
      <c r="D149" s="72" t="s">
        <v>2532</v>
      </c>
      <c r="E149" s="2008" t="str">
        <f t="shared" si="7"/>
        <v>XL</v>
      </c>
      <c r="F149" s="54">
        <v>14</v>
      </c>
      <c r="G149" s="54" t="s">
        <v>512</v>
      </c>
      <c r="J149" s="54" t="str">
        <f t="shared" si="6"/>
        <v>XLPE3240D</v>
      </c>
    </row>
    <row r="150" spans="1:10" hidden="1">
      <c r="A150" s="71" t="s">
        <v>7</v>
      </c>
      <c r="B150" s="75"/>
      <c r="C150" s="71" t="s">
        <v>2746</v>
      </c>
      <c r="D150" s="72" t="s">
        <v>2532</v>
      </c>
      <c r="E150" s="2008" t="str">
        <f t="shared" si="7"/>
        <v>XL</v>
      </c>
      <c r="F150" s="54">
        <v>14</v>
      </c>
      <c r="G150" s="54" t="s">
        <v>512</v>
      </c>
      <c r="J150" s="54" t="str">
        <f t="shared" si="6"/>
        <v>XLPE200HT</v>
      </c>
    </row>
    <row r="151" spans="1:10" hidden="1">
      <c r="A151" s="71" t="s">
        <v>2098</v>
      </c>
      <c r="B151" s="75"/>
      <c r="C151" s="71" t="s">
        <v>2747</v>
      </c>
      <c r="D151" s="72" t="s">
        <v>2532</v>
      </c>
      <c r="E151" s="2008" t="str">
        <f t="shared" si="7"/>
        <v>XL</v>
      </c>
      <c r="F151" s="54">
        <v>14</v>
      </c>
      <c r="G151" s="54" t="s">
        <v>512</v>
      </c>
      <c r="J151" s="54" t="str">
        <f t="shared" si="6"/>
        <v>XLPE240HT</v>
      </c>
    </row>
    <row r="152" spans="1:10" hidden="1">
      <c r="A152" s="71" t="s">
        <v>2099</v>
      </c>
      <c r="B152" s="75"/>
      <c r="C152" s="71" t="s">
        <v>2748</v>
      </c>
      <c r="D152" s="72" t="s">
        <v>2532</v>
      </c>
      <c r="E152" s="2008" t="str">
        <f t="shared" si="7"/>
        <v>XL</v>
      </c>
      <c r="F152" s="54">
        <v>14</v>
      </c>
      <c r="G152" s="54" t="s">
        <v>512</v>
      </c>
      <c r="J152" s="54" t="str">
        <f t="shared" si="6"/>
        <v>XLPE250HT</v>
      </c>
    </row>
    <row r="153" spans="1:10" hidden="1">
      <c r="A153" s="71" t="s">
        <v>2100</v>
      </c>
      <c r="B153" s="75"/>
      <c r="C153" s="71" t="s">
        <v>2749</v>
      </c>
      <c r="D153" s="72" t="s">
        <v>2532</v>
      </c>
      <c r="E153" s="2008" t="str">
        <f t="shared" si="7"/>
        <v>XL</v>
      </c>
      <c r="F153" s="54">
        <v>14</v>
      </c>
      <c r="G153" s="54" t="s">
        <v>512</v>
      </c>
      <c r="J153" s="54" t="str">
        <f t="shared" si="6"/>
        <v>XLPE300HT</v>
      </c>
    </row>
    <row r="154" spans="1:10" hidden="1">
      <c r="A154" s="71" t="s">
        <v>476</v>
      </c>
      <c r="B154" s="1638"/>
      <c r="C154" s="71" t="s">
        <v>2750</v>
      </c>
      <c r="D154" s="72" t="s">
        <v>2248</v>
      </c>
      <c r="E154" s="2008" t="str">
        <f t="shared" si="7"/>
        <v>AC</v>
      </c>
      <c r="F154" s="54">
        <v>15</v>
      </c>
      <c r="G154" s="54" t="s">
        <v>512</v>
      </c>
      <c r="J154" s="54" t="str">
        <f t="shared" si="6"/>
        <v>ACKP35</v>
      </c>
    </row>
    <row r="155" spans="1:10" hidden="1">
      <c r="A155" s="71" t="s">
        <v>267</v>
      </c>
      <c r="B155" s="1638"/>
      <c r="C155" s="71" t="s">
        <v>2751</v>
      </c>
      <c r="D155" s="72" t="s">
        <v>2248</v>
      </c>
      <c r="E155" s="2008" t="str">
        <f t="shared" si="7"/>
        <v>AC</v>
      </c>
      <c r="F155" s="54">
        <v>15</v>
      </c>
      <c r="G155" s="54" t="s">
        <v>512</v>
      </c>
      <c r="J155" s="54" t="str">
        <f t="shared" si="6"/>
        <v>ACKP50</v>
      </c>
    </row>
    <row r="156" spans="1:10" hidden="1">
      <c r="A156" s="71" t="s">
        <v>268</v>
      </c>
      <c r="B156" s="1638"/>
      <c r="C156" s="71" t="s">
        <v>2752</v>
      </c>
      <c r="D156" s="72" t="s">
        <v>2248</v>
      </c>
      <c r="E156" s="2008" t="str">
        <f t="shared" si="7"/>
        <v>AC</v>
      </c>
      <c r="F156" s="54">
        <v>15</v>
      </c>
      <c r="G156" s="54" t="s">
        <v>512</v>
      </c>
      <c r="J156" s="54" t="str">
        <f t="shared" si="6"/>
        <v>ACKP70</v>
      </c>
    </row>
    <row r="157" spans="1:10" hidden="1">
      <c r="A157" s="1639" t="s">
        <v>196</v>
      </c>
      <c r="B157" s="75"/>
      <c r="C157" s="71" t="s">
        <v>2753</v>
      </c>
      <c r="D157" s="72" t="s">
        <v>2248</v>
      </c>
      <c r="E157" s="2008" t="str">
        <f t="shared" si="7"/>
        <v>AC</v>
      </c>
      <c r="F157" s="54">
        <v>15</v>
      </c>
      <c r="G157" s="54" t="s">
        <v>512</v>
      </c>
      <c r="J157" s="54" t="str">
        <f t="shared" si="6"/>
        <v>ACKP95</v>
      </c>
    </row>
    <row r="158" spans="1:10" hidden="1">
      <c r="A158" s="71" t="s">
        <v>1417</v>
      </c>
      <c r="B158" s="1638"/>
      <c r="C158" s="71" t="s">
        <v>2754</v>
      </c>
      <c r="D158" s="72" t="s">
        <v>2248</v>
      </c>
      <c r="E158" s="2008" t="str">
        <f t="shared" si="7"/>
        <v>AC</v>
      </c>
      <c r="F158" s="54">
        <v>15</v>
      </c>
      <c r="G158" s="54" t="s">
        <v>512</v>
      </c>
      <c r="J158" s="54" t="str">
        <f t="shared" si="6"/>
        <v>ACKP120</v>
      </c>
    </row>
    <row r="159" spans="1:10" hidden="1">
      <c r="A159" s="71" t="s">
        <v>853</v>
      </c>
      <c r="B159" s="1638"/>
      <c r="C159" s="71" t="s">
        <v>2755</v>
      </c>
      <c r="D159" s="72" t="s">
        <v>2248</v>
      </c>
      <c r="E159" s="2008" t="str">
        <f t="shared" si="7"/>
        <v>AC</v>
      </c>
      <c r="F159" s="54">
        <v>15</v>
      </c>
      <c r="G159" s="54" t="s">
        <v>512</v>
      </c>
      <c r="J159" s="54" t="str">
        <f t="shared" si="6"/>
        <v>ACKP150</v>
      </c>
    </row>
    <row r="160" spans="1:10" hidden="1">
      <c r="A160" s="71" t="s">
        <v>1370</v>
      </c>
      <c r="B160" s="1638"/>
      <c r="C160" s="71" t="s">
        <v>2756</v>
      </c>
      <c r="D160" s="72" t="s">
        <v>2248</v>
      </c>
      <c r="E160" s="2008" t="str">
        <f t="shared" si="7"/>
        <v>AC</v>
      </c>
      <c r="F160" s="54">
        <v>15</v>
      </c>
      <c r="G160" s="54" t="s">
        <v>512</v>
      </c>
      <c r="J160" s="54" t="str">
        <f t="shared" si="6"/>
        <v>ACKP185</v>
      </c>
    </row>
    <row r="161" spans="1:10" hidden="1">
      <c r="A161" s="71" t="s">
        <v>1369</v>
      </c>
      <c r="B161" s="1638"/>
      <c r="C161" s="71" t="s">
        <v>2757</v>
      </c>
      <c r="D161" s="72" t="s">
        <v>2248</v>
      </c>
      <c r="E161" s="2008" t="str">
        <f t="shared" si="7"/>
        <v>AC</v>
      </c>
      <c r="F161" s="54">
        <v>15</v>
      </c>
      <c r="G161" s="54" t="s">
        <v>512</v>
      </c>
      <c r="J161" s="54" t="str">
        <f t="shared" si="6"/>
        <v>ACKP240</v>
      </c>
    </row>
    <row r="162" spans="1:10" hidden="1">
      <c r="A162" s="71" t="s">
        <v>1617</v>
      </c>
      <c r="B162" s="75"/>
      <c r="C162" s="71" t="s">
        <v>2758</v>
      </c>
      <c r="D162" s="72" t="s">
        <v>2532</v>
      </c>
      <c r="E162" s="2008" t="str">
        <f t="shared" si="7"/>
        <v>AC</v>
      </c>
      <c r="F162" s="54">
        <v>11</v>
      </c>
      <c r="G162" s="54" t="s">
        <v>512</v>
      </c>
      <c r="J162" s="54" t="str">
        <f t="shared" si="6"/>
        <v>ACXV150</v>
      </c>
    </row>
    <row r="163" spans="1:10" hidden="1">
      <c r="A163" s="71" t="s">
        <v>360</v>
      </c>
      <c r="B163" s="75"/>
      <c r="C163" s="71" t="s">
        <v>4864</v>
      </c>
      <c r="D163" s="72" t="s">
        <v>2532</v>
      </c>
      <c r="E163" s="2008" t="str">
        <f t="shared" si="7"/>
        <v>AC</v>
      </c>
      <c r="F163" s="54">
        <v>11</v>
      </c>
      <c r="G163" s="54" t="s">
        <v>512</v>
      </c>
      <c r="J163" s="54" t="str">
        <f t="shared" si="6"/>
        <v>ACXV50</v>
      </c>
    </row>
    <row r="164" spans="1:10" hidden="1">
      <c r="A164" s="71" t="s">
        <v>540</v>
      </c>
      <c r="B164" s="1638"/>
      <c r="C164" s="71" t="s">
        <v>2759</v>
      </c>
      <c r="D164" s="72" t="s">
        <v>2248</v>
      </c>
      <c r="E164" s="2008" t="str">
        <f t="shared" si="7"/>
        <v>AC</v>
      </c>
      <c r="F164" s="54">
        <v>15</v>
      </c>
      <c r="G164" s="54" t="s">
        <v>512</v>
      </c>
      <c r="J164" s="54" t="str">
        <f t="shared" si="6"/>
        <v>AC35</v>
      </c>
    </row>
    <row r="165" spans="1:10" hidden="1">
      <c r="A165" s="71" t="s">
        <v>88</v>
      </c>
      <c r="B165" s="1638"/>
      <c r="C165" s="71" t="s">
        <v>2760</v>
      </c>
      <c r="D165" s="72" t="s">
        <v>2248</v>
      </c>
      <c r="E165" s="2008" t="str">
        <f t="shared" si="7"/>
        <v>AC</v>
      </c>
      <c r="F165" s="54">
        <v>15</v>
      </c>
      <c r="G165" s="54" t="s">
        <v>512</v>
      </c>
      <c r="J165" s="54" t="str">
        <f t="shared" si="6"/>
        <v>AC50</v>
      </c>
    </row>
    <row r="166" spans="1:10" hidden="1">
      <c r="A166" s="71" t="s">
        <v>1239</v>
      </c>
      <c r="B166" s="1638"/>
      <c r="C166" s="71" t="s">
        <v>2761</v>
      </c>
      <c r="D166" s="72" t="s">
        <v>2248</v>
      </c>
      <c r="E166" s="2008" t="str">
        <f t="shared" si="7"/>
        <v>AC</v>
      </c>
      <c r="F166" s="54">
        <v>15</v>
      </c>
      <c r="G166" s="54" t="s">
        <v>512</v>
      </c>
      <c r="J166" s="54" t="str">
        <f t="shared" si="6"/>
        <v>AC70</v>
      </c>
    </row>
    <row r="167" spans="1:10" hidden="1">
      <c r="A167" s="1639" t="s">
        <v>269</v>
      </c>
      <c r="B167" s="75"/>
      <c r="C167" s="71" t="s">
        <v>2762</v>
      </c>
      <c r="D167" s="72" t="s">
        <v>2248</v>
      </c>
      <c r="E167" s="2008" t="str">
        <f t="shared" si="7"/>
        <v>AC</v>
      </c>
      <c r="F167" s="54">
        <v>15</v>
      </c>
      <c r="G167" s="54" t="s">
        <v>512</v>
      </c>
      <c r="J167" s="54" t="str">
        <f t="shared" si="6"/>
        <v>AC95</v>
      </c>
    </row>
    <row r="168" spans="1:10" hidden="1">
      <c r="A168" s="71" t="s">
        <v>539</v>
      </c>
      <c r="B168" s="1638"/>
      <c r="C168" s="71" t="s">
        <v>2763</v>
      </c>
      <c r="D168" s="72" t="s">
        <v>2248</v>
      </c>
      <c r="E168" s="2008" t="str">
        <f t="shared" si="7"/>
        <v>AC</v>
      </c>
      <c r="F168" s="54">
        <v>15</v>
      </c>
      <c r="G168" s="54" t="s">
        <v>512</v>
      </c>
      <c r="J168" s="54" t="str">
        <f t="shared" si="6"/>
        <v>AC120</v>
      </c>
    </row>
    <row r="169" spans="1:10" hidden="1">
      <c r="A169" s="71" t="s">
        <v>841</v>
      </c>
      <c r="B169" s="1638"/>
      <c r="C169" s="71" t="s">
        <v>2764</v>
      </c>
      <c r="D169" s="72" t="s">
        <v>2248</v>
      </c>
      <c r="E169" s="2008" t="str">
        <f t="shared" si="7"/>
        <v>AC</v>
      </c>
      <c r="F169" s="54">
        <v>15</v>
      </c>
      <c r="G169" s="54" t="s">
        <v>512</v>
      </c>
      <c r="J169" s="54" t="str">
        <f t="shared" si="6"/>
        <v>AC150</v>
      </c>
    </row>
    <row r="170" spans="1:10" hidden="1">
      <c r="A170" s="71" t="s">
        <v>729</v>
      </c>
      <c r="B170" s="1638"/>
      <c r="C170" s="71" t="s">
        <v>2765</v>
      </c>
      <c r="D170" s="72" t="s">
        <v>2248</v>
      </c>
      <c r="E170" s="2008" t="str">
        <f t="shared" si="7"/>
        <v>AC</v>
      </c>
      <c r="F170" s="54">
        <v>15</v>
      </c>
      <c r="G170" s="54" t="s">
        <v>512</v>
      </c>
      <c r="J170" s="54" t="str">
        <f t="shared" si="6"/>
        <v>AC185</v>
      </c>
    </row>
    <row r="171" spans="1:10" hidden="1">
      <c r="A171" s="71" t="s">
        <v>728</v>
      </c>
      <c r="B171" s="1638"/>
      <c r="C171" s="71" t="s">
        <v>2766</v>
      </c>
      <c r="D171" s="72" t="s">
        <v>2248</v>
      </c>
      <c r="E171" s="2008" t="str">
        <f t="shared" si="7"/>
        <v>AC</v>
      </c>
      <c r="F171" s="54">
        <v>15</v>
      </c>
      <c r="G171" s="54" t="s">
        <v>512</v>
      </c>
      <c r="J171" s="54" t="str">
        <f t="shared" si="6"/>
        <v>AC240</v>
      </c>
    </row>
    <row r="172" spans="1:10" hidden="1">
      <c r="A172" s="71" t="s">
        <v>1732</v>
      </c>
      <c r="B172" s="75"/>
      <c r="C172" s="71" t="s">
        <v>2767</v>
      </c>
      <c r="D172" s="72" t="s">
        <v>2532</v>
      </c>
      <c r="E172" s="2008" t="str">
        <f t="shared" si="7"/>
        <v>av</v>
      </c>
      <c r="F172" s="54">
        <v>14</v>
      </c>
      <c r="G172" s="54" t="s">
        <v>512</v>
      </c>
      <c r="J172" s="54" t="str">
        <f t="shared" si="6"/>
        <v>av35</v>
      </c>
    </row>
    <row r="173" spans="1:10" hidden="1">
      <c r="A173" s="71" t="s">
        <v>210</v>
      </c>
      <c r="B173" s="75"/>
      <c r="C173" s="71" t="s">
        <v>2768</v>
      </c>
      <c r="D173" s="72" t="s">
        <v>2532</v>
      </c>
      <c r="E173" s="2008" t="str">
        <f t="shared" si="7"/>
        <v>av</v>
      </c>
      <c r="F173" s="54">
        <v>14</v>
      </c>
      <c r="G173" s="54" t="s">
        <v>512</v>
      </c>
      <c r="J173" s="54" t="str">
        <f t="shared" si="6"/>
        <v>av50</v>
      </c>
    </row>
    <row r="174" spans="1:10" hidden="1">
      <c r="A174" s="71" t="s">
        <v>211</v>
      </c>
      <c r="B174" s="75"/>
      <c r="C174" s="71" t="s">
        <v>2769</v>
      </c>
      <c r="D174" s="72" t="s">
        <v>2532</v>
      </c>
      <c r="E174" s="2008" t="str">
        <f t="shared" si="7"/>
        <v>av</v>
      </c>
      <c r="F174" s="54">
        <v>14</v>
      </c>
      <c r="G174" s="54" t="s">
        <v>512</v>
      </c>
      <c r="J174" s="54" t="str">
        <f t="shared" si="6"/>
        <v>av70</v>
      </c>
    </row>
    <row r="175" spans="1:10" hidden="1">
      <c r="A175" s="71" t="s">
        <v>212</v>
      </c>
      <c r="B175" s="75"/>
      <c r="C175" s="71" t="s">
        <v>2770</v>
      </c>
      <c r="D175" s="72" t="s">
        <v>2532</v>
      </c>
      <c r="E175" s="2008" t="str">
        <f t="shared" si="7"/>
        <v>av</v>
      </c>
      <c r="F175" s="54">
        <v>14</v>
      </c>
      <c r="G175" s="54" t="s">
        <v>512</v>
      </c>
      <c r="J175" s="54" t="str">
        <f t="shared" si="6"/>
        <v>av95</v>
      </c>
    </row>
    <row r="176" spans="1:10" hidden="1">
      <c r="A176" s="71" t="s">
        <v>154</v>
      </c>
      <c r="B176" s="75"/>
      <c r="C176" s="71" t="s">
        <v>2771</v>
      </c>
      <c r="D176" s="72" t="s">
        <v>2532</v>
      </c>
      <c r="E176" s="2008" t="str">
        <f t="shared" si="7"/>
        <v>av</v>
      </c>
      <c r="F176" s="54">
        <v>14</v>
      </c>
      <c r="G176" s="54" t="s">
        <v>512</v>
      </c>
      <c r="J176" s="54" t="str">
        <f t="shared" si="6"/>
        <v>av120</v>
      </c>
    </row>
    <row r="177" spans="1:10" hidden="1">
      <c r="A177" s="71" t="s">
        <v>1798</v>
      </c>
      <c r="B177" s="75"/>
      <c r="C177" s="71" t="s">
        <v>2772</v>
      </c>
      <c r="D177" s="72" t="s">
        <v>2532</v>
      </c>
      <c r="E177" s="2008" t="str">
        <f t="shared" si="7"/>
        <v>av</v>
      </c>
      <c r="F177" s="54">
        <v>14</v>
      </c>
      <c r="G177" s="54" t="s">
        <v>512</v>
      </c>
      <c r="J177" s="54" t="str">
        <f t="shared" si="6"/>
        <v>av150</v>
      </c>
    </row>
    <row r="178" spans="1:10" hidden="1">
      <c r="A178" s="71" t="s">
        <v>2104</v>
      </c>
      <c r="B178" s="75"/>
      <c r="C178" s="71" t="s">
        <v>2773</v>
      </c>
      <c r="D178" s="72" t="s">
        <v>2532</v>
      </c>
      <c r="E178" s="2008" t="str">
        <f t="shared" si="7"/>
        <v>av</v>
      </c>
      <c r="F178" s="54">
        <v>14</v>
      </c>
      <c r="G178" s="54" t="s">
        <v>512</v>
      </c>
      <c r="J178" s="54" t="str">
        <f t="shared" si="6"/>
        <v>av185</v>
      </c>
    </row>
    <row r="179" spans="1:10" hidden="1">
      <c r="A179" s="71" t="s">
        <v>872</v>
      </c>
      <c r="B179" s="75"/>
      <c r="C179" s="71" t="s">
        <v>2774</v>
      </c>
      <c r="D179" s="72" t="s">
        <v>2532</v>
      </c>
      <c r="E179" s="2008" t="str">
        <f t="shared" si="7"/>
        <v>av</v>
      </c>
      <c r="F179" s="54">
        <v>14</v>
      </c>
      <c r="G179" s="54" t="s">
        <v>512</v>
      </c>
      <c r="J179" s="54" t="str">
        <f t="shared" si="6"/>
        <v>av240</v>
      </c>
    </row>
    <row r="180" spans="1:10" hidden="1">
      <c r="A180" s="71" t="s">
        <v>873</v>
      </c>
      <c r="B180" s="75"/>
      <c r="C180" s="71" t="s">
        <v>2775</v>
      </c>
      <c r="D180" s="72" t="s">
        <v>2532</v>
      </c>
      <c r="E180" s="2008" t="str">
        <f t="shared" si="7"/>
        <v>av</v>
      </c>
      <c r="F180" s="54">
        <v>14</v>
      </c>
      <c r="G180" s="54" t="s">
        <v>512</v>
      </c>
      <c r="J180" s="54" t="str">
        <f t="shared" si="6"/>
        <v>av300</v>
      </c>
    </row>
    <row r="181" spans="1:10" hidden="1">
      <c r="A181" s="1640" t="s">
        <v>2260</v>
      </c>
      <c r="B181" s="75"/>
      <c r="C181" s="71" t="s">
        <v>2776</v>
      </c>
      <c r="D181" s="72" t="s">
        <v>2532</v>
      </c>
      <c r="E181" s="2008" t="str">
        <f t="shared" si="7"/>
        <v>AB</v>
      </c>
      <c r="F181" s="54">
        <v>11</v>
      </c>
      <c r="G181" s="54" t="s">
        <v>512</v>
      </c>
      <c r="J181" s="54" t="str">
        <f t="shared" si="6"/>
        <v>ABC3x50</v>
      </c>
    </row>
    <row r="182" spans="1:10" hidden="1">
      <c r="A182" s="1640" t="s">
        <v>2261</v>
      </c>
      <c r="B182" s="75"/>
      <c r="C182" s="71" t="s">
        <v>2777</v>
      </c>
      <c r="D182" s="72" t="s">
        <v>2532</v>
      </c>
      <c r="E182" s="2008" t="str">
        <f t="shared" si="7"/>
        <v>AB</v>
      </c>
      <c r="F182" s="54">
        <v>11</v>
      </c>
      <c r="G182" s="54" t="s">
        <v>512</v>
      </c>
      <c r="J182" s="54" t="str">
        <f t="shared" si="6"/>
        <v>ABC3x70</v>
      </c>
    </row>
    <row r="183" spans="1:10" hidden="1">
      <c r="A183" s="1640" t="s">
        <v>1149</v>
      </c>
      <c r="B183" s="75"/>
      <c r="C183" s="71" t="s">
        <v>2778</v>
      </c>
      <c r="D183" s="72" t="s">
        <v>2532</v>
      </c>
      <c r="E183" s="2008" t="str">
        <f t="shared" si="7"/>
        <v>AB</v>
      </c>
      <c r="F183" s="54">
        <v>11</v>
      </c>
      <c r="G183" s="54" t="s">
        <v>512</v>
      </c>
      <c r="J183" s="54" t="str">
        <f t="shared" si="6"/>
        <v>ABC4x50</v>
      </c>
    </row>
    <row r="184" spans="1:10" hidden="1">
      <c r="A184" s="1640" t="s">
        <v>1150</v>
      </c>
      <c r="B184" s="75"/>
      <c r="C184" s="71" t="s">
        <v>2779</v>
      </c>
      <c r="D184" s="72" t="s">
        <v>2532</v>
      </c>
      <c r="E184" s="2008" t="str">
        <f t="shared" si="7"/>
        <v>AB</v>
      </c>
      <c r="F184" s="54">
        <v>11</v>
      </c>
      <c r="G184" s="54" t="s">
        <v>512</v>
      </c>
      <c r="J184" s="54" t="str">
        <f t="shared" si="6"/>
        <v>ABC4x70</v>
      </c>
    </row>
    <row r="185" spans="1:10" hidden="1">
      <c r="A185" s="1640" t="s">
        <v>2262</v>
      </c>
      <c r="B185" s="75"/>
      <c r="C185" s="71" t="s">
        <v>4323</v>
      </c>
      <c r="D185" s="72" t="s">
        <v>2532</v>
      </c>
      <c r="E185" s="2008" t="str">
        <f t="shared" si="7"/>
        <v>AB</v>
      </c>
      <c r="F185" s="54">
        <v>11</v>
      </c>
      <c r="G185" s="54" t="s">
        <v>512</v>
      </c>
      <c r="J185" s="54" t="str">
        <f t="shared" si="6"/>
        <v>ABC3x95</v>
      </c>
    </row>
    <row r="186" spans="1:10" hidden="1">
      <c r="A186" s="1640" t="s">
        <v>1151</v>
      </c>
      <c r="B186" s="75"/>
      <c r="C186" s="71" t="s">
        <v>4480</v>
      </c>
      <c r="D186" s="72" t="s">
        <v>2532</v>
      </c>
      <c r="E186" s="2008" t="str">
        <f>LEFT(A186,2)</f>
        <v>AB</v>
      </c>
      <c r="F186" s="54">
        <v>11</v>
      </c>
      <c r="G186" s="54" t="s">
        <v>512</v>
      </c>
      <c r="J186" s="54" t="str">
        <f t="shared" si="6"/>
        <v>ABC4x95</v>
      </c>
    </row>
    <row r="187" spans="1:10" hidden="1">
      <c r="A187" s="1640" t="s">
        <v>1152</v>
      </c>
      <c r="B187" s="75"/>
      <c r="C187" s="71" t="s">
        <v>2780</v>
      </c>
      <c r="D187" s="72" t="s">
        <v>2532</v>
      </c>
      <c r="E187" s="2008" t="str">
        <f t="shared" si="7"/>
        <v>AB</v>
      </c>
      <c r="F187" s="54">
        <v>11</v>
      </c>
      <c r="G187" s="54" t="s">
        <v>512</v>
      </c>
      <c r="J187" s="54" t="str">
        <f t="shared" si="6"/>
        <v>ABC4x120</v>
      </c>
    </row>
    <row r="188" spans="1:10" hidden="1">
      <c r="A188" s="1640" t="s">
        <v>116</v>
      </c>
      <c r="B188" s="75"/>
      <c r="C188" s="71" t="s">
        <v>2781</v>
      </c>
      <c r="D188" s="72" t="s">
        <v>2532</v>
      </c>
      <c r="E188" s="2008" t="str">
        <f t="shared" si="7"/>
        <v>AB</v>
      </c>
      <c r="F188" s="54">
        <v>11</v>
      </c>
      <c r="G188" s="54" t="s">
        <v>512</v>
      </c>
      <c r="J188" s="54" t="str">
        <f t="shared" si="6"/>
        <v>ABC4x150</v>
      </c>
    </row>
    <row r="189" spans="1:10" hidden="1">
      <c r="A189" s="71" t="s">
        <v>8</v>
      </c>
      <c r="B189" s="74" t="s">
        <v>1527</v>
      </c>
      <c r="C189" s="71" t="s">
        <v>2782</v>
      </c>
      <c r="D189" s="72" t="s">
        <v>2532</v>
      </c>
      <c r="E189" s="2008" t="str">
        <f t="shared" si="7"/>
        <v>CV</v>
      </c>
      <c r="F189" s="54">
        <v>9</v>
      </c>
      <c r="G189" s="54" t="s">
        <v>512</v>
      </c>
      <c r="J189" s="54" t="str">
        <f t="shared" si="6"/>
        <v>CVV2x2,5</v>
      </c>
    </row>
    <row r="190" spans="1:10" hidden="1">
      <c r="A190" s="71" t="s">
        <v>1171</v>
      </c>
      <c r="B190" s="74" t="s">
        <v>1527</v>
      </c>
      <c r="C190" s="73" t="s">
        <v>2783</v>
      </c>
      <c r="D190" s="72" t="s">
        <v>2532</v>
      </c>
      <c r="E190" s="2008" t="str">
        <f t="shared" si="7"/>
        <v>CV</v>
      </c>
      <c r="F190" s="54">
        <v>9</v>
      </c>
      <c r="G190" s="54" t="s">
        <v>512</v>
      </c>
      <c r="J190" s="54" t="str">
        <f t="shared" si="6"/>
        <v>CVV316</v>
      </c>
    </row>
    <row r="191" spans="1:10" hidden="1">
      <c r="A191" s="71" t="s">
        <v>1822</v>
      </c>
      <c r="B191" s="74" t="s">
        <v>1527</v>
      </c>
      <c r="C191" s="71" t="s">
        <v>2784</v>
      </c>
      <c r="D191" s="72" t="s">
        <v>2532</v>
      </c>
      <c r="E191" s="2008" t="str">
        <f t="shared" si="7"/>
        <v>CV</v>
      </c>
      <c r="F191" s="54">
        <v>9</v>
      </c>
      <c r="G191" s="54" t="s">
        <v>512</v>
      </c>
      <c r="J191" s="54" t="str">
        <f t="shared" si="6"/>
        <v>CVV4X2,5</v>
      </c>
    </row>
    <row r="192" spans="1:10" hidden="1">
      <c r="A192" s="71" t="s">
        <v>2139</v>
      </c>
      <c r="B192" s="74"/>
      <c r="C192" s="71" t="s">
        <v>2785</v>
      </c>
      <c r="D192" s="72" t="s">
        <v>2532</v>
      </c>
      <c r="E192" s="2008" t="str">
        <f t="shared" si="7"/>
        <v>M5</v>
      </c>
      <c r="F192" s="54">
        <v>50</v>
      </c>
      <c r="G192" s="54" t="s">
        <v>512</v>
      </c>
      <c r="J192" s="54" t="str">
        <f t="shared" si="6"/>
        <v>M5M</v>
      </c>
    </row>
    <row r="193" spans="1:10" hidden="1">
      <c r="A193" s="71" t="s">
        <v>2276</v>
      </c>
      <c r="B193" s="74" t="s">
        <v>1527</v>
      </c>
      <c r="C193" s="71" t="s">
        <v>2786</v>
      </c>
      <c r="D193" s="72" t="s">
        <v>2532</v>
      </c>
      <c r="E193" s="2008" t="str">
        <f t="shared" si="7"/>
        <v>CV</v>
      </c>
      <c r="F193" s="54">
        <v>9</v>
      </c>
      <c r="G193" s="54" t="s">
        <v>512</v>
      </c>
      <c r="J193" s="54" t="str">
        <f t="shared" si="6"/>
        <v>CVV4X4</v>
      </c>
    </row>
    <row r="194" spans="1:10" hidden="1">
      <c r="A194" s="71" t="s">
        <v>1368</v>
      </c>
      <c r="B194" s="1641" t="s">
        <v>2249</v>
      </c>
      <c r="C194" s="71" t="s">
        <v>2787</v>
      </c>
      <c r="D194" s="72" t="s">
        <v>2532</v>
      </c>
      <c r="E194" s="2008" t="str">
        <f t="shared" si="7"/>
        <v>CV</v>
      </c>
      <c r="F194" s="54">
        <v>8</v>
      </c>
      <c r="G194" s="54" t="s">
        <v>512</v>
      </c>
      <c r="J194" s="54" t="str">
        <f t="shared" si="6"/>
        <v>CV2,5</v>
      </c>
    </row>
    <row r="195" spans="1:10" hidden="1">
      <c r="A195" s="71" t="s">
        <v>2107</v>
      </c>
      <c r="B195" s="1641" t="s">
        <v>2249</v>
      </c>
      <c r="C195" s="71" t="s">
        <v>2788</v>
      </c>
      <c r="D195" s="72" t="s">
        <v>2532</v>
      </c>
      <c r="E195" s="2008" t="str">
        <f t="shared" si="7"/>
        <v>cv</v>
      </c>
      <c r="F195" s="54">
        <v>9</v>
      </c>
      <c r="G195" s="54" t="s">
        <v>512</v>
      </c>
      <c r="J195" s="54" t="str">
        <f t="shared" si="6"/>
        <v>cv11</v>
      </c>
    </row>
    <row r="196" spans="1:10" hidden="1">
      <c r="A196" s="71" t="s">
        <v>497</v>
      </c>
      <c r="B196" s="1641" t="s">
        <v>2249</v>
      </c>
      <c r="C196" s="71" t="s">
        <v>2789</v>
      </c>
      <c r="D196" s="72" t="s">
        <v>2532</v>
      </c>
      <c r="E196" s="2008" t="str">
        <f t="shared" si="7"/>
        <v>cv</v>
      </c>
      <c r="F196" s="54">
        <v>8</v>
      </c>
      <c r="G196" s="54" t="s">
        <v>512</v>
      </c>
      <c r="J196" s="54" t="str">
        <f t="shared" si="6"/>
        <v>cv16</v>
      </c>
    </row>
    <row r="197" spans="1:10" hidden="1">
      <c r="A197" s="71" t="s">
        <v>1526</v>
      </c>
      <c r="B197" s="1641"/>
      <c r="C197" s="71" t="s">
        <v>2790</v>
      </c>
      <c r="D197" s="72" t="s">
        <v>2532</v>
      </c>
      <c r="E197" s="2008" t="str">
        <f>LEFT(A197,2)</f>
        <v>cv</v>
      </c>
      <c r="F197" s="54">
        <v>8</v>
      </c>
      <c r="G197" s="54" t="s">
        <v>512</v>
      </c>
      <c r="J197" s="54" t="str">
        <f>A197</f>
        <v>cv25</v>
      </c>
    </row>
    <row r="198" spans="1:10" hidden="1">
      <c r="A198" s="71" t="s">
        <v>4902</v>
      </c>
      <c r="B198" s="1641"/>
      <c r="C198" s="71" t="s">
        <v>4903</v>
      </c>
      <c r="D198" s="72" t="s">
        <v>2532</v>
      </c>
      <c r="E198" s="2008" t="str">
        <f t="shared" ref="E198" si="8">LEFT(A198,2)</f>
        <v>cx</v>
      </c>
      <c r="F198" s="54">
        <v>8</v>
      </c>
      <c r="G198" s="54" t="s">
        <v>512</v>
      </c>
      <c r="J198" s="54" t="str">
        <f t="shared" ref="J198" si="9">A198</f>
        <v>cxv25</v>
      </c>
    </row>
    <row r="199" spans="1:10" hidden="1">
      <c r="A199" s="71" t="s">
        <v>6514</v>
      </c>
      <c r="B199" s="1641"/>
      <c r="C199" s="71" t="s">
        <v>6515</v>
      </c>
      <c r="D199" s="72" t="s">
        <v>2532</v>
      </c>
      <c r="E199" s="2008" t="str">
        <f t="shared" si="7"/>
        <v>cx</v>
      </c>
      <c r="F199" s="54">
        <v>8</v>
      </c>
      <c r="G199" s="54" t="s">
        <v>512</v>
      </c>
      <c r="J199" s="54" t="str">
        <f t="shared" si="6"/>
        <v>cxv95</v>
      </c>
    </row>
    <row r="200" spans="1:10" hidden="1">
      <c r="A200" s="71" t="s">
        <v>60</v>
      </c>
      <c r="B200" s="1641"/>
      <c r="C200" s="71" t="s">
        <v>2791</v>
      </c>
      <c r="D200" s="72" t="s">
        <v>2532</v>
      </c>
      <c r="E200" s="2008" t="str">
        <f t="shared" si="7"/>
        <v>cv</v>
      </c>
      <c r="F200" s="54">
        <v>8</v>
      </c>
      <c r="G200" s="54" t="s">
        <v>512</v>
      </c>
      <c r="J200" s="54" t="str">
        <f t="shared" si="6"/>
        <v>cv35</v>
      </c>
    </row>
    <row r="201" spans="1:10" hidden="1">
      <c r="A201" s="71" t="s">
        <v>273</v>
      </c>
      <c r="B201" s="1641"/>
      <c r="C201" s="71" t="s">
        <v>2792</v>
      </c>
      <c r="D201" s="72" t="s">
        <v>2532</v>
      </c>
      <c r="E201" s="2008" t="str">
        <f t="shared" si="7"/>
        <v>cv</v>
      </c>
      <c r="F201" s="54">
        <v>8</v>
      </c>
      <c r="G201" s="54" t="s">
        <v>512</v>
      </c>
      <c r="J201" s="54" t="str">
        <f t="shared" si="6"/>
        <v>cv50</v>
      </c>
    </row>
    <row r="202" spans="1:10" hidden="1">
      <c r="A202" s="71" t="s">
        <v>1623</v>
      </c>
      <c r="B202" s="1641"/>
      <c r="C202" s="71" t="s">
        <v>2793</v>
      </c>
      <c r="D202" s="72" t="s">
        <v>2532</v>
      </c>
      <c r="E202" s="2008" t="str">
        <f t="shared" si="7"/>
        <v>cv</v>
      </c>
      <c r="F202" s="54">
        <v>8</v>
      </c>
      <c r="G202" s="54" t="s">
        <v>512</v>
      </c>
      <c r="J202" s="54" t="str">
        <f t="shared" ref="J202:J266" si="10">A202</f>
        <v>cv70</v>
      </c>
    </row>
    <row r="203" spans="1:10" hidden="1">
      <c r="A203" s="71" t="s">
        <v>274</v>
      </c>
      <c r="B203" s="1641"/>
      <c r="C203" s="71" t="s">
        <v>2794</v>
      </c>
      <c r="D203" s="72" t="s">
        <v>2532</v>
      </c>
      <c r="E203" s="2008" t="str">
        <f t="shared" si="7"/>
        <v>cv</v>
      </c>
      <c r="F203" s="54">
        <v>8</v>
      </c>
      <c r="G203" s="54" t="s">
        <v>512</v>
      </c>
      <c r="J203" s="54" t="str">
        <f t="shared" si="10"/>
        <v>cv95</v>
      </c>
    </row>
    <row r="204" spans="1:10" hidden="1">
      <c r="A204" s="71" t="s">
        <v>32</v>
      </c>
      <c r="B204" s="75"/>
      <c r="C204" s="71" t="s">
        <v>2795</v>
      </c>
      <c r="D204" s="72" t="s">
        <v>2532</v>
      </c>
      <c r="E204" s="2008" t="str">
        <f t="shared" si="7"/>
        <v>cv</v>
      </c>
      <c r="F204" s="54">
        <v>8</v>
      </c>
      <c r="G204" s="54" t="s">
        <v>512</v>
      </c>
      <c r="J204" s="54" t="str">
        <f t="shared" si="10"/>
        <v>cv120</v>
      </c>
    </row>
    <row r="205" spans="1:10" hidden="1">
      <c r="A205" s="71" t="s">
        <v>34</v>
      </c>
      <c r="B205" s="75"/>
      <c r="C205" s="71" t="s">
        <v>2796</v>
      </c>
      <c r="D205" s="72" t="s">
        <v>2532</v>
      </c>
      <c r="E205" s="2008" t="str">
        <f t="shared" ref="E205:E271" si="11">LEFT(A205,2)</f>
        <v>cv</v>
      </c>
      <c r="F205" s="54">
        <v>8</v>
      </c>
      <c r="G205" s="54" t="s">
        <v>512</v>
      </c>
      <c r="J205" s="54" t="str">
        <f t="shared" si="10"/>
        <v>cv150</v>
      </c>
    </row>
    <row r="206" spans="1:10" hidden="1">
      <c r="A206" s="71" t="s">
        <v>1013</v>
      </c>
      <c r="B206" s="75"/>
      <c r="C206" s="71" t="s">
        <v>2797</v>
      </c>
      <c r="D206" s="72" t="s">
        <v>2532</v>
      </c>
      <c r="E206" s="2008" t="str">
        <f t="shared" si="11"/>
        <v>cv</v>
      </c>
      <c r="F206" s="54">
        <v>8</v>
      </c>
      <c r="G206" s="54" t="s">
        <v>512</v>
      </c>
      <c r="J206" s="54" t="str">
        <f t="shared" si="10"/>
        <v>cv185</v>
      </c>
    </row>
    <row r="207" spans="1:10" hidden="1">
      <c r="A207" s="71" t="s">
        <v>608</v>
      </c>
      <c r="B207" s="75"/>
      <c r="C207" s="71" t="s">
        <v>2798</v>
      </c>
      <c r="D207" s="72" t="s">
        <v>2532</v>
      </c>
      <c r="E207" s="2008" t="str">
        <f t="shared" si="11"/>
        <v>cv</v>
      </c>
      <c r="F207" s="54">
        <v>8</v>
      </c>
      <c r="G207" s="54" t="s">
        <v>512</v>
      </c>
      <c r="J207" s="54" t="str">
        <f t="shared" si="10"/>
        <v>cv200</v>
      </c>
    </row>
    <row r="208" spans="1:10" hidden="1">
      <c r="A208" s="71" t="s">
        <v>1571</v>
      </c>
      <c r="B208" s="75"/>
      <c r="C208" s="71" t="s">
        <v>2799</v>
      </c>
      <c r="D208" s="72" t="s">
        <v>2532</v>
      </c>
      <c r="E208" s="2008" t="str">
        <f t="shared" si="11"/>
        <v>cv</v>
      </c>
      <c r="F208" s="54">
        <v>8</v>
      </c>
      <c r="G208" s="54" t="s">
        <v>512</v>
      </c>
      <c r="J208" s="54" t="str">
        <f t="shared" si="10"/>
        <v>cv240</v>
      </c>
    </row>
    <row r="209" spans="1:10" hidden="1">
      <c r="A209" s="71" t="s">
        <v>89</v>
      </c>
      <c r="B209" s="75"/>
      <c r="C209" s="71" t="s">
        <v>2800</v>
      </c>
      <c r="D209" s="72" t="s">
        <v>2532</v>
      </c>
      <c r="E209" s="2008" t="str">
        <f t="shared" si="11"/>
        <v>cv</v>
      </c>
      <c r="F209" s="54">
        <v>8</v>
      </c>
      <c r="G209" s="54" t="s">
        <v>512</v>
      </c>
      <c r="J209" s="54" t="str">
        <f t="shared" si="10"/>
        <v>cv250</v>
      </c>
    </row>
    <row r="210" spans="1:10" hidden="1">
      <c r="A210" s="71" t="s">
        <v>2148</v>
      </c>
      <c r="B210" s="75"/>
      <c r="C210" s="71" t="s">
        <v>2801</v>
      </c>
      <c r="D210" s="72" t="s">
        <v>2532</v>
      </c>
      <c r="E210" s="2008" t="str">
        <f t="shared" si="11"/>
        <v>cv</v>
      </c>
      <c r="F210" s="54">
        <v>8</v>
      </c>
      <c r="G210" s="54" t="s">
        <v>512</v>
      </c>
      <c r="J210" s="54" t="str">
        <f t="shared" si="10"/>
        <v>cv300</v>
      </c>
    </row>
    <row r="211" spans="1:10" hidden="1">
      <c r="A211" s="71" t="s">
        <v>1911</v>
      </c>
      <c r="B211" s="75"/>
      <c r="C211" s="71" t="s">
        <v>2802</v>
      </c>
      <c r="D211" s="72" t="s">
        <v>2532</v>
      </c>
      <c r="E211" s="2008" t="str">
        <f t="shared" si="11"/>
        <v>cv</v>
      </c>
      <c r="F211" s="54">
        <v>8</v>
      </c>
      <c r="G211" s="54" t="s">
        <v>512</v>
      </c>
      <c r="J211" s="54" t="str">
        <f t="shared" si="10"/>
        <v>cv400</v>
      </c>
    </row>
    <row r="212" spans="1:10" hidden="1">
      <c r="A212" s="71" t="s">
        <v>1472</v>
      </c>
      <c r="B212" s="75"/>
      <c r="C212" s="71" t="s">
        <v>2803</v>
      </c>
      <c r="D212" s="72" t="s">
        <v>2532</v>
      </c>
      <c r="E212" s="2008" t="str">
        <f t="shared" si="11"/>
        <v>ac</v>
      </c>
      <c r="F212" s="54">
        <v>13</v>
      </c>
      <c r="G212" s="54" t="s">
        <v>512</v>
      </c>
      <c r="J212" s="54" t="str">
        <f t="shared" si="10"/>
        <v>acv35</v>
      </c>
    </row>
    <row r="213" spans="1:10" hidden="1">
      <c r="A213" s="71" t="s">
        <v>884</v>
      </c>
      <c r="B213" s="75"/>
      <c r="C213" s="71" t="s">
        <v>2804</v>
      </c>
      <c r="D213" s="72" t="s">
        <v>2532</v>
      </c>
      <c r="E213" s="2008" t="str">
        <f t="shared" si="11"/>
        <v>ac</v>
      </c>
      <c r="F213" s="54">
        <v>13</v>
      </c>
      <c r="G213" s="54" t="s">
        <v>512</v>
      </c>
      <c r="J213" s="54" t="str">
        <f t="shared" si="10"/>
        <v>acv50</v>
      </c>
    </row>
    <row r="214" spans="1:10" hidden="1">
      <c r="A214" s="71" t="s">
        <v>603</v>
      </c>
      <c r="B214" s="75"/>
      <c r="C214" s="71" t="s">
        <v>2805</v>
      </c>
      <c r="D214" s="72" t="s">
        <v>2532</v>
      </c>
      <c r="E214" s="2008" t="str">
        <f t="shared" si="11"/>
        <v>ac</v>
      </c>
      <c r="F214" s="54">
        <v>13</v>
      </c>
      <c r="G214" s="54" t="s">
        <v>512</v>
      </c>
      <c r="J214" s="54" t="str">
        <f t="shared" si="10"/>
        <v>acv70</v>
      </c>
    </row>
    <row r="215" spans="1:10" hidden="1">
      <c r="A215" s="71" t="s">
        <v>645</v>
      </c>
      <c r="B215" s="75"/>
      <c r="C215" s="71" t="s">
        <v>2806</v>
      </c>
      <c r="D215" s="72" t="s">
        <v>2532</v>
      </c>
      <c r="E215" s="2008" t="str">
        <f t="shared" si="11"/>
        <v>ac</v>
      </c>
      <c r="F215" s="54">
        <v>13</v>
      </c>
      <c r="G215" s="54" t="s">
        <v>512</v>
      </c>
      <c r="J215" s="54" t="str">
        <f t="shared" si="10"/>
        <v>acv95</v>
      </c>
    </row>
    <row r="216" spans="1:10" hidden="1">
      <c r="A216" s="71" t="s">
        <v>66</v>
      </c>
      <c r="B216" s="75"/>
      <c r="C216" s="71" t="s">
        <v>2807</v>
      </c>
      <c r="D216" s="72" t="s">
        <v>2532</v>
      </c>
      <c r="E216" s="2008" t="str">
        <f t="shared" si="11"/>
        <v>ac</v>
      </c>
      <c r="F216" s="54">
        <v>13</v>
      </c>
      <c r="G216" s="54" t="s">
        <v>512</v>
      </c>
      <c r="J216" s="54" t="str">
        <f t="shared" si="10"/>
        <v>acv120</v>
      </c>
    </row>
    <row r="217" spans="1:10" hidden="1">
      <c r="A217" s="71" t="s">
        <v>206</v>
      </c>
      <c r="B217" s="75"/>
      <c r="C217" s="71" t="s">
        <v>2808</v>
      </c>
      <c r="D217" s="72" t="s">
        <v>2532</v>
      </c>
      <c r="E217" s="2008" t="str">
        <f t="shared" si="11"/>
        <v>ac</v>
      </c>
      <c r="F217" s="54">
        <v>13</v>
      </c>
      <c r="G217" s="54" t="s">
        <v>512</v>
      </c>
      <c r="J217" s="54" t="str">
        <f t="shared" si="10"/>
        <v>acv150</v>
      </c>
    </row>
    <row r="218" spans="1:10" hidden="1">
      <c r="A218" s="71" t="s">
        <v>207</v>
      </c>
      <c r="B218" s="75"/>
      <c r="C218" s="71" t="s">
        <v>2809</v>
      </c>
      <c r="D218" s="72" t="s">
        <v>2532</v>
      </c>
      <c r="E218" s="2008" t="str">
        <f t="shared" si="11"/>
        <v>ac</v>
      </c>
      <c r="F218" s="54">
        <v>13</v>
      </c>
      <c r="G218" s="54" t="s">
        <v>512</v>
      </c>
      <c r="J218" s="54" t="str">
        <f t="shared" si="10"/>
        <v>acv185</v>
      </c>
    </row>
    <row r="219" spans="1:10" hidden="1">
      <c r="A219" s="71" t="s">
        <v>208</v>
      </c>
      <c r="B219" s="75"/>
      <c r="C219" s="71" t="s">
        <v>2810</v>
      </c>
      <c r="D219" s="72" t="s">
        <v>2532</v>
      </c>
      <c r="E219" s="2008" t="str">
        <f t="shared" si="11"/>
        <v>ac</v>
      </c>
      <c r="F219" s="54">
        <v>13</v>
      </c>
      <c r="G219" s="54" t="s">
        <v>512</v>
      </c>
      <c r="J219" s="54" t="str">
        <f t="shared" si="10"/>
        <v>acv240</v>
      </c>
    </row>
    <row r="220" spans="1:10" hidden="1">
      <c r="A220" s="71" t="s">
        <v>1040</v>
      </c>
      <c r="B220" s="1638"/>
      <c r="C220" s="71" t="s">
        <v>2811</v>
      </c>
      <c r="D220" s="72" t="s">
        <v>2248</v>
      </c>
      <c r="E220" s="2008" t="str">
        <f t="shared" si="11"/>
        <v>A3</v>
      </c>
      <c r="F220" s="54">
        <v>14</v>
      </c>
      <c r="G220" s="54" t="s">
        <v>512</v>
      </c>
      <c r="J220" s="54" t="str">
        <f t="shared" si="10"/>
        <v>A35</v>
      </c>
    </row>
    <row r="221" spans="1:10" hidden="1">
      <c r="A221" s="71" t="s">
        <v>295</v>
      </c>
      <c r="B221" s="1638"/>
      <c r="C221" s="71" t="s">
        <v>2812</v>
      </c>
      <c r="D221" s="72" t="s">
        <v>2248</v>
      </c>
      <c r="E221" s="2008" t="str">
        <f t="shared" si="11"/>
        <v>A5</v>
      </c>
      <c r="F221" s="54">
        <v>14</v>
      </c>
      <c r="G221" s="54" t="s">
        <v>512</v>
      </c>
      <c r="J221" s="54" t="str">
        <f t="shared" si="10"/>
        <v>A50</v>
      </c>
    </row>
    <row r="222" spans="1:10" hidden="1">
      <c r="A222" s="71" t="s">
        <v>659</v>
      </c>
      <c r="B222" s="1638"/>
      <c r="C222" s="71" t="s">
        <v>2813</v>
      </c>
      <c r="D222" s="72" t="s">
        <v>2248</v>
      </c>
      <c r="E222" s="2008" t="str">
        <f t="shared" si="11"/>
        <v>A7</v>
      </c>
      <c r="F222" s="54">
        <v>14</v>
      </c>
      <c r="G222" s="54" t="s">
        <v>512</v>
      </c>
      <c r="J222" s="54" t="str">
        <f t="shared" si="10"/>
        <v>A70</v>
      </c>
    </row>
    <row r="223" spans="1:10" hidden="1">
      <c r="A223" s="71" t="s">
        <v>660</v>
      </c>
      <c r="B223" s="1638"/>
      <c r="C223" s="71" t="s">
        <v>2814</v>
      </c>
      <c r="D223" s="72" t="s">
        <v>2248</v>
      </c>
      <c r="E223" s="2008" t="str">
        <f t="shared" si="11"/>
        <v>A9</v>
      </c>
      <c r="F223" s="54">
        <v>14</v>
      </c>
      <c r="G223" s="54" t="s">
        <v>512</v>
      </c>
      <c r="J223" s="54" t="str">
        <f t="shared" si="10"/>
        <v>A95</v>
      </c>
    </row>
    <row r="224" spans="1:10" hidden="1">
      <c r="A224" s="71" t="s">
        <v>661</v>
      </c>
      <c r="B224" s="1638"/>
      <c r="C224" s="71" t="s">
        <v>2815</v>
      </c>
      <c r="D224" s="72" t="s">
        <v>2248</v>
      </c>
      <c r="E224" s="2008" t="str">
        <f t="shared" si="11"/>
        <v>A1</v>
      </c>
      <c r="F224" s="54">
        <v>14</v>
      </c>
      <c r="G224" s="54" t="s">
        <v>512</v>
      </c>
      <c r="J224" s="54" t="str">
        <f t="shared" si="10"/>
        <v>A120</v>
      </c>
    </row>
    <row r="225" spans="1:10" hidden="1">
      <c r="A225" s="71" t="s">
        <v>2179</v>
      </c>
      <c r="B225" s="1638"/>
      <c r="C225" s="71" t="s">
        <v>2816</v>
      </c>
      <c r="D225" s="72" t="s">
        <v>2248</v>
      </c>
      <c r="E225" s="2008" t="str">
        <f t="shared" si="11"/>
        <v>A1</v>
      </c>
      <c r="F225" s="54">
        <v>14</v>
      </c>
      <c r="G225" s="54" t="s">
        <v>512</v>
      </c>
      <c r="J225" s="54" t="str">
        <f t="shared" si="10"/>
        <v>A150</v>
      </c>
    </row>
    <row r="226" spans="1:10" hidden="1">
      <c r="A226" s="71" t="s">
        <v>1070</v>
      </c>
      <c r="B226" s="1638"/>
      <c r="C226" s="71" t="s">
        <v>2817</v>
      </c>
      <c r="D226" s="72" t="s">
        <v>2248</v>
      </c>
      <c r="E226" s="2008" t="str">
        <f t="shared" si="11"/>
        <v>A1</v>
      </c>
      <c r="F226" s="54">
        <v>14</v>
      </c>
      <c r="G226" s="54" t="s">
        <v>512</v>
      </c>
      <c r="J226" s="54" t="str">
        <f t="shared" si="10"/>
        <v>A185</v>
      </c>
    </row>
    <row r="227" spans="1:10" hidden="1">
      <c r="A227" s="71" t="s">
        <v>1071</v>
      </c>
      <c r="B227" s="1638"/>
      <c r="C227" s="71" t="s">
        <v>2818</v>
      </c>
      <c r="D227" s="72" t="s">
        <v>2248</v>
      </c>
      <c r="E227" s="2008" t="str">
        <f t="shared" si="11"/>
        <v>A2</v>
      </c>
      <c r="F227" s="54">
        <v>14</v>
      </c>
      <c r="G227" s="54" t="s">
        <v>512</v>
      </c>
      <c r="J227" s="54" t="str">
        <f t="shared" si="10"/>
        <v>A240</v>
      </c>
    </row>
    <row r="228" spans="1:10" hidden="1">
      <c r="A228" s="1642" t="s">
        <v>275</v>
      </c>
      <c r="B228" s="75"/>
      <c r="C228" s="71" t="s">
        <v>2819</v>
      </c>
      <c r="D228" s="72" t="s">
        <v>2248</v>
      </c>
      <c r="E228" s="2008" t="str">
        <f t="shared" si="11"/>
        <v>C3</v>
      </c>
      <c r="F228" s="54">
        <v>16</v>
      </c>
      <c r="G228" s="54" t="s">
        <v>512</v>
      </c>
      <c r="J228" s="54" t="str">
        <f t="shared" si="10"/>
        <v>C3/8</v>
      </c>
    </row>
    <row r="229" spans="1:10" hidden="1">
      <c r="A229" s="1642" t="s">
        <v>4921</v>
      </c>
      <c r="B229" s="75"/>
      <c r="C229" s="71" t="s">
        <v>2820</v>
      </c>
      <c r="D229" s="72" t="s">
        <v>2532</v>
      </c>
      <c r="E229" s="2008" t="str">
        <f>LEFT(A229,2)</f>
        <v>C5</v>
      </c>
      <c r="F229" s="54">
        <v>16</v>
      </c>
      <c r="G229" s="54" t="s">
        <v>512</v>
      </c>
      <c r="J229" s="54" t="str">
        <f>A229</f>
        <v>C5/8m</v>
      </c>
    </row>
    <row r="230" spans="1:10" hidden="1">
      <c r="A230" s="1642" t="s">
        <v>1359</v>
      </c>
      <c r="B230" s="75"/>
      <c r="C230" s="71" t="s">
        <v>2820</v>
      </c>
      <c r="D230" s="72" t="s">
        <v>2248</v>
      </c>
      <c r="E230" s="2008" t="str">
        <f t="shared" si="11"/>
        <v>C5</v>
      </c>
      <c r="F230" s="54">
        <v>16</v>
      </c>
      <c r="G230" s="54" t="s">
        <v>512</v>
      </c>
      <c r="J230" s="54" t="str">
        <f t="shared" si="10"/>
        <v>C5/8</v>
      </c>
    </row>
    <row r="231" spans="1:10" hidden="1">
      <c r="A231" s="71" t="s">
        <v>1266</v>
      </c>
      <c r="B231" s="1638"/>
      <c r="C231" s="71" t="s">
        <v>2821</v>
      </c>
      <c r="D231" s="72" t="s">
        <v>2555</v>
      </c>
      <c r="E231" s="2008" t="str">
        <f t="shared" si="11"/>
        <v>CS</v>
      </c>
      <c r="F231" s="54">
        <v>50</v>
      </c>
      <c r="G231" s="54" t="s">
        <v>512</v>
      </c>
      <c r="J231" s="54" t="str">
        <f t="shared" si="10"/>
        <v>CSDI</v>
      </c>
    </row>
    <row r="232" spans="1:10" hidden="1">
      <c r="A232" s="71" t="s">
        <v>590</v>
      </c>
      <c r="B232" s="1638"/>
      <c r="C232" s="71" t="s">
        <v>2822</v>
      </c>
      <c r="D232" s="72" t="s">
        <v>2555</v>
      </c>
      <c r="E232" s="2008" t="str">
        <f t="shared" si="11"/>
        <v>CS</v>
      </c>
      <c r="F232" s="54">
        <v>50</v>
      </c>
      <c r="G232" s="54" t="s">
        <v>512</v>
      </c>
      <c r="J232" s="54" t="str">
        <f t="shared" si="10"/>
        <v>CSDG</v>
      </c>
    </row>
    <row r="233" spans="1:10" hidden="1">
      <c r="A233" s="1639" t="s">
        <v>1265</v>
      </c>
      <c r="B233" s="75"/>
      <c r="C233" s="71" t="s">
        <v>2823</v>
      </c>
      <c r="D233" s="72" t="s">
        <v>2555</v>
      </c>
      <c r="E233" s="2008" t="str">
        <f t="shared" si="11"/>
        <v>CS</v>
      </c>
      <c r="F233" s="54">
        <v>50</v>
      </c>
      <c r="G233" s="54" t="s">
        <v>512</v>
      </c>
      <c r="J233" s="54" t="str">
        <f t="shared" si="10"/>
        <v>CSD</v>
      </c>
    </row>
    <row r="234" spans="1:10" hidden="1">
      <c r="A234" s="71" t="s">
        <v>229</v>
      </c>
      <c r="B234" s="1638"/>
      <c r="C234" s="71" t="s">
        <v>2824</v>
      </c>
      <c r="D234" s="72" t="s">
        <v>2248</v>
      </c>
      <c r="E234" s="2008" t="str">
        <f>LEFT(A234,2)</f>
        <v>DA</v>
      </c>
      <c r="F234" s="54">
        <v>50</v>
      </c>
      <c r="G234" s="54" t="s">
        <v>512</v>
      </c>
      <c r="J234" s="54" t="str">
        <f t="shared" si="10"/>
        <v>DAYA</v>
      </c>
    </row>
    <row r="235" spans="1:10" hidden="1">
      <c r="A235" s="71" t="s">
        <v>4462</v>
      </c>
      <c r="B235" s="1638"/>
      <c r="C235" s="71" t="s">
        <v>4463</v>
      </c>
      <c r="D235" s="72" t="s">
        <v>2248</v>
      </c>
      <c r="E235" s="2008" t="str">
        <f t="shared" si="11"/>
        <v>DA</v>
      </c>
      <c r="F235" s="54">
        <v>50</v>
      </c>
      <c r="G235" s="54" t="s">
        <v>512</v>
      </c>
      <c r="J235" s="54" t="str">
        <f t="shared" si="10"/>
        <v>DAYA70</v>
      </c>
    </row>
    <row r="236" spans="1:10" hidden="1">
      <c r="A236" s="71" t="s">
        <v>1456</v>
      </c>
      <c r="B236" s="1638" t="s">
        <v>277</v>
      </c>
      <c r="C236" s="71" t="s">
        <v>2825</v>
      </c>
      <c r="D236" s="72" t="s">
        <v>2439</v>
      </c>
      <c r="E236" s="2008" t="str">
        <f t="shared" si="11"/>
        <v>GD</v>
      </c>
      <c r="F236" s="54">
        <v>50</v>
      </c>
      <c r="G236" s="54" t="s">
        <v>512</v>
      </c>
      <c r="J236" s="54" t="str">
        <f t="shared" si="10"/>
        <v>GDFCO</v>
      </c>
    </row>
    <row r="237" spans="1:10" hidden="1">
      <c r="A237" s="71" t="s">
        <v>1645</v>
      </c>
      <c r="B237" s="1638" t="s">
        <v>277</v>
      </c>
      <c r="C237" s="71" t="s">
        <v>2826</v>
      </c>
      <c r="D237" s="72" t="s">
        <v>2439</v>
      </c>
      <c r="E237" s="2008" t="str">
        <f t="shared" si="11"/>
        <v>GU</v>
      </c>
      <c r="F237" s="54">
        <v>50</v>
      </c>
      <c r="G237" s="54" t="s">
        <v>512</v>
      </c>
      <c r="J237" s="54" t="str">
        <f t="shared" si="10"/>
        <v>GUFCO</v>
      </c>
    </row>
    <row r="238" spans="1:10" hidden="1">
      <c r="A238" s="71" t="s">
        <v>147</v>
      </c>
      <c r="B238" s="1638" t="s">
        <v>1749</v>
      </c>
      <c r="C238" s="71" t="s">
        <v>2827</v>
      </c>
      <c r="D238" s="72" t="s">
        <v>1628</v>
      </c>
      <c r="E238" s="2008" t="str">
        <f t="shared" si="11"/>
        <v>GI</v>
      </c>
      <c r="F238" s="54">
        <v>50</v>
      </c>
      <c r="G238" s="54" t="s">
        <v>512</v>
      </c>
      <c r="J238" s="54" t="str">
        <f t="shared" si="10"/>
        <v>GIATFCO</v>
      </c>
    </row>
    <row r="239" spans="1:10" hidden="1">
      <c r="A239" s="71" t="s">
        <v>1263</v>
      </c>
      <c r="B239" s="1638"/>
      <c r="C239" s="71" t="s">
        <v>2828</v>
      </c>
      <c r="D239" s="72" t="s">
        <v>2439</v>
      </c>
      <c r="E239" s="2008" t="str">
        <f t="shared" si="11"/>
        <v>Gi</v>
      </c>
      <c r="F239" s="54">
        <v>50</v>
      </c>
      <c r="G239" s="54" t="s">
        <v>512</v>
      </c>
      <c r="J239" s="54" t="str">
        <f t="shared" si="10"/>
        <v>Gianoi1600</v>
      </c>
    </row>
    <row r="240" spans="1:10" hidden="1">
      <c r="A240" s="71" t="s">
        <v>1264</v>
      </c>
      <c r="B240" s="1638"/>
      <c r="C240" s="71" t="s">
        <v>2828</v>
      </c>
      <c r="D240" s="72" t="s">
        <v>2439</v>
      </c>
      <c r="E240" s="2008" t="str">
        <f t="shared" si="11"/>
        <v>Gi</v>
      </c>
      <c r="F240" s="54">
        <v>50</v>
      </c>
      <c r="G240" s="54" t="s">
        <v>512</v>
      </c>
      <c r="J240" s="54" t="str">
        <f t="shared" si="10"/>
        <v>Gianoi2500</v>
      </c>
    </row>
    <row r="241" spans="1:10" hidden="1">
      <c r="A241" s="71" t="s">
        <v>1535</v>
      </c>
      <c r="B241" s="1638"/>
      <c r="C241" s="71" t="s">
        <v>2828</v>
      </c>
      <c r="D241" s="72" t="s">
        <v>2439</v>
      </c>
      <c r="E241" s="2008" t="str">
        <f t="shared" si="11"/>
        <v>Gi</v>
      </c>
      <c r="F241" s="54">
        <v>50</v>
      </c>
      <c r="G241" s="54" t="s">
        <v>512</v>
      </c>
      <c r="J241" s="54" t="str">
        <f t="shared" si="10"/>
        <v>GianoiCB</v>
      </c>
    </row>
    <row r="242" spans="1:10" hidden="1">
      <c r="A242" s="71" t="s">
        <v>1176</v>
      </c>
      <c r="B242" s="1638"/>
      <c r="C242" s="71" t="s">
        <v>2829</v>
      </c>
      <c r="D242" s="72" t="s">
        <v>2248</v>
      </c>
      <c r="E242" s="2008" t="str">
        <f t="shared" si="11"/>
        <v>GC</v>
      </c>
      <c r="F242" s="54">
        <v>2000</v>
      </c>
      <c r="G242" s="54" t="s">
        <v>512</v>
      </c>
      <c r="J242" s="54" t="str">
        <f t="shared" si="10"/>
        <v>GCST</v>
      </c>
    </row>
    <row r="243" spans="1:10" hidden="1">
      <c r="A243" s="71" t="s">
        <v>1814</v>
      </c>
      <c r="B243" s="1638"/>
      <c r="C243" s="71" t="s">
        <v>2830</v>
      </c>
      <c r="D243" s="72" t="s">
        <v>2831</v>
      </c>
      <c r="E243" s="2008" t="str">
        <f t="shared" si="11"/>
        <v>G</v>
      </c>
      <c r="F243" s="54">
        <v>2000</v>
      </c>
      <c r="G243" s="54" t="s">
        <v>512</v>
      </c>
      <c r="J243" s="54" t="str">
        <f t="shared" si="10"/>
        <v>G</v>
      </c>
    </row>
    <row r="244" spans="1:10" hidden="1">
      <c r="A244" s="71" t="s">
        <v>1578</v>
      </c>
      <c r="B244" s="1638"/>
      <c r="C244" s="71" t="s">
        <v>2832</v>
      </c>
      <c r="D244" s="72" t="s">
        <v>2555</v>
      </c>
      <c r="E244" s="2008" t="str">
        <f t="shared" si="11"/>
        <v>K3</v>
      </c>
      <c r="F244" s="54">
        <v>50</v>
      </c>
      <c r="G244" s="54" t="s">
        <v>512</v>
      </c>
      <c r="J244" s="54" t="str">
        <f t="shared" si="10"/>
        <v>K3B</v>
      </c>
    </row>
    <row r="245" spans="1:10" hidden="1">
      <c r="A245" s="1639" t="s">
        <v>228</v>
      </c>
      <c r="B245" s="75"/>
      <c r="C245" s="71" t="s">
        <v>4354</v>
      </c>
      <c r="D245" s="72" t="s">
        <v>2278</v>
      </c>
      <c r="E245" s="2008" t="str">
        <f t="shared" si="11"/>
        <v>CT</v>
      </c>
      <c r="F245" s="54">
        <v>50</v>
      </c>
      <c r="G245" s="54" t="s">
        <v>512</v>
      </c>
      <c r="J245" s="54" t="str">
        <f t="shared" si="10"/>
        <v>CTD</v>
      </c>
    </row>
    <row r="246" spans="1:10" hidden="1">
      <c r="A246" s="1639" t="s">
        <v>1508</v>
      </c>
      <c r="B246" s="75"/>
      <c r="C246" s="71" t="s">
        <v>4855</v>
      </c>
      <c r="D246" s="72" t="s">
        <v>2439</v>
      </c>
      <c r="E246" s="2008" t="str">
        <f t="shared" si="11"/>
        <v>CT</v>
      </c>
      <c r="F246" s="54">
        <v>50</v>
      </c>
      <c r="G246" s="54" t="s">
        <v>512</v>
      </c>
      <c r="J246" s="54" t="str">
        <f t="shared" si="10"/>
        <v>CTD+K</v>
      </c>
    </row>
    <row r="247" spans="1:10" hidden="1">
      <c r="A247" s="71" t="s">
        <v>553</v>
      </c>
      <c r="B247" s="75"/>
      <c r="C247" s="71" t="s">
        <v>2833</v>
      </c>
      <c r="D247" s="72" t="s">
        <v>2555</v>
      </c>
      <c r="E247" s="2008" t="str">
        <f t="shared" si="11"/>
        <v>K-</v>
      </c>
      <c r="F247" s="54">
        <v>50</v>
      </c>
      <c r="G247" s="54" t="s">
        <v>512</v>
      </c>
      <c r="J247" s="54" t="str">
        <f t="shared" si="10"/>
        <v>K-Cu</v>
      </c>
    </row>
    <row r="248" spans="1:10" hidden="1">
      <c r="A248" s="71" t="s">
        <v>1789</v>
      </c>
      <c r="B248" s="75"/>
      <c r="C248" s="71" t="s">
        <v>2834</v>
      </c>
      <c r="D248" s="72" t="s">
        <v>2555</v>
      </c>
      <c r="E248" s="2008" t="str">
        <f t="shared" si="11"/>
        <v>K-</v>
      </c>
      <c r="F248" s="54">
        <v>50</v>
      </c>
      <c r="G248" s="54" t="s">
        <v>512</v>
      </c>
      <c r="J248" s="54" t="str">
        <f t="shared" si="10"/>
        <v>K-Fe</v>
      </c>
    </row>
    <row r="249" spans="1:10" hidden="1">
      <c r="A249" s="1639" t="s">
        <v>1383</v>
      </c>
      <c r="B249" s="75"/>
      <c r="C249" s="71" t="s">
        <v>6414</v>
      </c>
      <c r="D249" s="72" t="s">
        <v>2555</v>
      </c>
      <c r="E249" s="2008" t="str">
        <f t="shared" si="11"/>
        <v>K3</v>
      </c>
      <c r="F249" s="54">
        <v>50</v>
      </c>
      <c r="G249" s="54" t="s">
        <v>512</v>
      </c>
      <c r="J249" s="54" t="str">
        <f t="shared" si="10"/>
        <v>K35</v>
      </c>
    </row>
    <row r="250" spans="1:10" hidden="1">
      <c r="A250" s="1639" t="s">
        <v>1851</v>
      </c>
      <c r="B250" s="75"/>
      <c r="C250" s="71" t="s">
        <v>4077</v>
      </c>
      <c r="D250" s="72" t="s">
        <v>2555</v>
      </c>
      <c r="E250" s="2008" t="str">
        <f t="shared" si="11"/>
        <v>K5</v>
      </c>
      <c r="F250" s="54">
        <v>50</v>
      </c>
      <c r="G250" s="54" t="s">
        <v>512</v>
      </c>
      <c r="J250" s="54" t="str">
        <f t="shared" si="10"/>
        <v>K50</v>
      </c>
    </row>
    <row r="251" spans="1:10" hidden="1">
      <c r="A251" s="71" t="s">
        <v>1384</v>
      </c>
      <c r="B251" s="1638"/>
      <c r="C251" s="71" t="s">
        <v>4078</v>
      </c>
      <c r="D251" s="72" t="s">
        <v>2555</v>
      </c>
      <c r="E251" s="2008" t="str">
        <f t="shared" si="11"/>
        <v>K7</v>
      </c>
      <c r="F251" s="54">
        <v>50</v>
      </c>
      <c r="G251" s="54" t="s">
        <v>512</v>
      </c>
      <c r="J251" s="54" t="str">
        <f t="shared" si="10"/>
        <v>K70</v>
      </c>
    </row>
    <row r="252" spans="1:10" hidden="1">
      <c r="A252" s="71" t="s">
        <v>1385</v>
      </c>
      <c r="B252" s="75"/>
      <c r="C252" s="71" t="s">
        <v>4079</v>
      </c>
      <c r="D252" s="72" t="s">
        <v>2555</v>
      </c>
      <c r="E252" s="2008" t="str">
        <f t="shared" si="11"/>
        <v>K9</v>
      </c>
      <c r="F252" s="54">
        <v>50</v>
      </c>
      <c r="G252" s="54" t="s">
        <v>512</v>
      </c>
      <c r="J252" s="54" t="str">
        <f t="shared" si="10"/>
        <v>K95</v>
      </c>
    </row>
    <row r="253" spans="1:10" hidden="1">
      <c r="A253" s="1639" t="s">
        <v>2073</v>
      </c>
      <c r="B253" s="75"/>
      <c r="C253" s="71" t="s">
        <v>4080</v>
      </c>
      <c r="D253" s="72" t="s">
        <v>2555</v>
      </c>
      <c r="E253" s="2008" t="str">
        <f t="shared" si="11"/>
        <v>K1</v>
      </c>
      <c r="F253" s="54">
        <v>50</v>
      </c>
      <c r="G253" s="54" t="s">
        <v>512</v>
      </c>
      <c r="J253" s="54" t="str">
        <f t="shared" si="10"/>
        <v>K120</v>
      </c>
    </row>
    <row r="254" spans="1:10" hidden="1">
      <c r="A254" s="1639" t="s">
        <v>1177</v>
      </c>
      <c r="B254" s="75"/>
      <c r="C254" s="71" t="s">
        <v>4081</v>
      </c>
      <c r="D254" s="72" t="s">
        <v>2555</v>
      </c>
      <c r="E254" s="2008" t="str">
        <f t="shared" si="11"/>
        <v>K1</v>
      </c>
      <c r="F254" s="54">
        <v>50</v>
      </c>
      <c r="G254" s="54" t="s">
        <v>512</v>
      </c>
      <c r="J254" s="54" t="str">
        <f t="shared" si="10"/>
        <v>K150</v>
      </c>
    </row>
    <row r="255" spans="1:10" hidden="1">
      <c r="A255" s="1639" t="s">
        <v>2072</v>
      </c>
      <c r="B255" s="75"/>
      <c r="C255" s="71" t="s">
        <v>6415</v>
      </c>
      <c r="D255" s="72" t="s">
        <v>2555</v>
      </c>
      <c r="E255" s="2008" t="str">
        <f t="shared" si="11"/>
        <v>K1</v>
      </c>
      <c r="F255" s="54">
        <v>50</v>
      </c>
      <c r="G255" s="54" t="s">
        <v>512</v>
      </c>
      <c r="J255" s="54" t="str">
        <f t="shared" si="10"/>
        <v>K185</v>
      </c>
    </row>
    <row r="256" spans="1:10" hidden="1">
      <c r="A256" s="1639" t="s">
        <v>2071</v>
      </c>
      <c r="B256" s="75"/>
      <c r="C256" s="71" t="s">
        <v>6416</v>
      </c>
      <c r="D256" s="72" t="s">
        <v>2555</v>
      </c>
      <c r="E256" s="2008" t="str">
        <f t="shared" si="11"/>
        <v>K2</v>
      </c>
      <c r="F256" s="54">
        <v>50</v>
      </c>
      <c r="G256" s="54" t="s">
        <v>512</v>
      </c>
      <c r="J256" s="54" t="str">
        <f t="shared" si="10"/>
        <v>K240</v>
      </c>
    </row>
    <row r="257" spans="1:10" hidden="1">
      <c r="A257" s="1643" t="s">
        <v>580</v>
      </c>
      <c r="B257" s="75"/>
      <c r="C257" s="71" t="s">
        <v>2835</v>
      </c>
      <c r="D257" s="72" t="s">
        <v>2555</v>
      </c>
      <c r="E257" s="2008" t="str">
        <f t="shared" si="11"/>
        <v>KT</v>
      </c>
      <c r="F257" s="54">
        <v>50</v>
      </c>
      <c r="G257" s="54" t="s">
        <v>512</v>
      </c>
      <c r="J257" s="54" t="str">
        <f t="shared" si="10"/>
        <v>KTREO211</v>
      </c>
    </row>
    <row r="258" spans="1:10" hidden="1">
      <c r="A258" s="1643" t="s">
        <v>1875</v>
      </c>
      <c r="B258" s="75"/>
      <c r="C258" s="71" t="s">
        <v>2836</v>
      </c>
      <c r="D258" s="72" t="s">
        <v>2555</v>
      </c>
      <c r="E258" s="2008" t="str">
        <f t="shared" si="11"/>
        <v>KT</v>
      </c>
      <c r="F258" s="54">
        <v>50</v>
      </c>
      <c r="G258" s="54" t="s">
        <v>512</v>
      </c>
      <c r="J258" s="54" t="str">
        <f t="shared" si="10"/>
        <v>KTREO11</v>
      </c>
    </row>
    <row r="259" spans="1:10" hidden="1">
      <c r="A259" s="1643" t="s">
        <v>826</v>
      </c>
      <c r="B259" s="75"/>
      <c r="C259" s="71" t="s">
        <v>2837</v>
      </c>
      <c r="D259" s="72" t="s">
        <v>2555</v>
      </c>
      <c r="E259" s="2008" t="str">
        <f t="shared" si="11"/>
        <v>KT</v>
      </c>
      <c r="F259" s="54">
        <v>50</v>
      </c>
      <c r="G259" s="54" t="s">
        <v>512</v>
      </c>
      <c r="J259" s="54" t="str">
        <f t="shared" si="10"/>
        <v>KTREO22</v>
      </c>
    </row>
    <row r="260" spans="1:10" hidden="1">
      <c r="A260" s="1643" t="s">
        <v>2060</v>
      </c>
      <c r="B260" s="75"/>
      <c r="C260" s="71" t="s">
        <v>2838</v>
      </c>
      <c r="D260" s="72" t="s">
        <v>2555</v>
      </c>
      <c r="E260" s="2008" t="str">
        <f t="shared" si="11"/>
        <v>KT</v>
      </c>
      <c r="F260" s="54">
        <v>50</v>
      </c>
      <c r="G260" s="54" t="s">
        <v>512</v>
      </c>
      <c r="J260" s="54" t="str">
        <f t="shared" si="10"/>
        <v>KTREO35</v>
      </c>
    </row>
    <row r="261" spans="1:10" hidden="1">
      <c r="A261" s="1643" t="s">
        <v>1693</v>
      </c>
      <c r="B261" s="75"/>
      <c r="C261" s="71" t="s">
        <v>2839</v>
      </c>
      <c r="D261" s="72" t="s">
        <v>2555</v>
      </c>
      <c r="E261" s="2008" t="str">
        <f t="shared" si="11"/>
        <v>KT</v>
      </c>
      <c r="F261" s="54">
        <v>50</v>
      </c>
      <c r="G261" s="54" t="s">
        <v>512</v>
      </c>
      <c r="J261" s="54" t="str">
        <f t="shared" si="10"/>
        <v>KTREO50</v>
      </c>
    </row>
    <row r="262" spans="1:10" hidden="1">
      <c r="A262" s="1643" t="s">
        <v>1692</v>
      </c>
      <c r="B262" s="1644" t="s">
        <v>1768</v>
      </c>
      <c r="C262" s="71" t="s">
        <v>2840</v>
      </c>
      <c r="D262" s="72" t="s">
        <v>2555</v>
      </c>
      <c r="E262" s="2008" t="str">
        <f t="shared" si="11"/>
        <v>KT</v>
      </c>
      <c r="F262" s="54">
        <v>50</v>
      </c>
      <c r="G262" s="54" t="s">
        <v>512</v>
      </c>
      <c r="J262" s="54" t="str">
        <f t="shared" si="10"/>
        <v>KTREO70</v>
      </c>
    </row>
    <row r="263" spans="1:10" hidden="1">
      <c r="A263" s="1643" t="s">
        <v>1159</v>
      </c>
      <c r="B263" s="75"/>
      <c r="C263" s="71" t="s">
        <v>4871</v>
      </c>
      <c r="D263" s="72" t="s">
        <v>2555</v>
      </c>
      <c r="E263" s="2008" t="str">
        <f t="shared" si="11"/>
        <v>KT</v>
      </c>
      <c r="F263" s="54">
        <v>50</v>
      </c>
      <c r="G263" s="54" t="s">
        <v>512</v>
      </c>
      <c r="J263" s="54" t="str">
        <f t="shared" si="10"/>
        <v>KTREO95</v>
      </c>
    </row>
    <row r="264" spans="1:10" hidden="1">
      <c r="A264" s="1643" t="s">
        <v>1158</v>
      </c>
      <c r="B264" s="75"/>
      <c r="C264" s="71" t="s">
        <v>2841</v>
      </c>
      <c r="D264" s="72" t="s">
        <v>2555</v>
      </c>
      <c r="E264" s="2008" t="str">
        <f t="shared" si="11"/>
        <v>KT</v>
      </c>
      <c r="F264" s="54">
        <v>50</v>
      </c>
      <c r="G264" s="54" t="s">
        <v>512</v>
      </c>
      <c r="J264" s="54" t="str">
        <f t="shared" si="10"/>
        <v>KTREO120</v>
      </c>
    </row>
    <row r="265" spans="1:10" hidden="1">
      <c r="A265" s="1643" t="s">
        <v>146</v>
      </c>
      <c r="B265" s="75"/>
      <c r="C265" s="71" t="s">
        <v>2842</v>
      </c>
      <c r="D265" s="72" t="s">
        <v>2555</v>
      </c>
      <c r="E265" s="2008" t="str">
        <f t="shared" si="11"/>
        <v>KT</v>
      </c>
      <c r="F265" s="54">
        <v>50</v>
      </c>
      <c r="G265" s="54" t="s">
        <v>512</v>
      </c>
      <c r="J265" s="54" t="str">
        <f t="shared" si="10"/>
        <v>KTREO150</v>
      </c>
    </row>
    <row r="266" spans="1:10" hidden="1">
      <c r="A266" s="71" t="s">
        <v>1734</v>
      </c>
      <c r="B266" s="75"/>
      <c r="C266" s="71" t="s">
        <v>2843</v>
      </c>
      <c r="D266" s="72" t="s">
        <v>2555</v>
      </c>
      <c r="E266" s="2008" t="str">
        <f t="shared" si="11"/>
        <v>MT</v>
      </c>
      <c r="F266" s="54">
        <v>50</v>
      </c>
      <c r="G266" s="54" t="s">
        <v>512</v>
      </c>
      <c r="J266" s="54" t="str">
        <f t="shared" si="10"/>
        <v>MTREO A</v>
      </c>
    </row>
    <row r="267" spans="1:10" hidden="1">
      <c r="A267" s="71" t="s">
        <v>2208</v>
      </c>
      <c r="B267" s="75"/>
      <c r="C267" s="71" t="s">
        <v>2844</v>
      </c>
      <c r="D267" s="72" t="s">
        <v>2555</v>
      </c>
      <c r="E267" s="2008" t="str">
        <f t="shared" si="11"/>
        <v>MO</v>
      </c>
      <c r="F267" s="54">
        <v>50</v>
      </c>
      <c r="G267" s="54" t="s">
        <v>512</v>
      </c>
      <c r="J267" s="54" t="str">
        <f t="shared" ref="J267:J330" si="12">A267</f>
        <v>MOCDUNG</v>
      </c>
    </row>
    <row r="268" spans="1:10" hidden="1">
      <c r="A268" s="71" t="s">
        <v>2024</v>
      </c>
      <c r="B268" s="75"/>
      <c r="C268" s="71" t="s">
        <v>2845</v>
      </c>
      <c r="D268" s="72" t="s">
        <v>2555</v>
      </c>
      <c r="E268" s="2008" t="str">
        <f>LEFT(A268,2)</f>
        <v>MT</v>
      </c>
      <c r="F268" s="54">
        <v>50</v>
      </c>
      <c r="G268" s="54" t="s">
        <v>512</v>
      </c>
      <c r="J268" s="54" t="str">
        <f t="shared" si="12"/>
        <v xml:space="preserve">MTREO </v>
      </c>
    </row>
    <row r="269" spans="1:10" hidden="1">
      <c r="A269" s="71" t="s">
        <v>4493</v>
      </c>
      <c r="B269" s="75"/>
      <c r="C269" s="71" t="s">
        <v>4728</v>
      </c>
      <c r="D269" s="72" t="s">
        <v>2555</v>
      </c>
      <c r="E269" s="2008" t="str">
        <f t="shared" si="11"/>
        <v>KD</v>
      </c>
      <c r="F269" s="54">
        <v>50</v>
      </c>
      <c r="G269" s="54" t="s">
        <v>512</v>
      </c>
      <c r="J269" s="54" t="str">
        <f t="shared" si="12"/>
        <v>KDPLY</v>
      </c>
    </row>
    <row r="270" spans="1:10" hidden="1">
      <c r="A270" s="1643" t="s">
        <v>2211</v>
      </c>
      <c r="B270" s="75"/>
      <c r="C270" s="71" t="s">
        <v>2846</v>
      </c>
      <c r="D270" s="72" t="s">
        <v>2555</v>
      </c>
      <c r="E270" s="2008" t="str">
        <f t="shared" si="11"/>
        <v>KN</v>
      </c>
      <c r="F270" s="54">
        <v>50</v>
      </c>
      <c r="G270" s="54" t="s">
        <v>512</v>
      </c>
      <c r="J270" s="54" t="str">
        <f t="shared" si="12"/>
        <v>KNGUNG211</v>
      </c>
    </row>
    <row r="271" spans="1:10" hidden="1">
      <c r="A271" s="1643" t="s">
        <v>2210</v>
      </c>
      <c r="B271" s="75"/>
      <c r="C271" s="71" t="s">
        <v>2847</v>
      </c>
      <c r="D271" s="72" t="s">
        <v>2555</v>
      </c>
      <c r="E271" s="2008" t="str">
        <f t="shared" si="11"/>
        <v>KN</v>
      </c>
      <c r="F271" s="54">
        <v>50</v>
      </c>
      <c r="G271" s="54" t="s">
        <v>512</v>
      </c>
      <c r="J271" s="54" t="str">
        <f t="shared" si="12"/>
        <v>KNGUNG11</v>
      </c>
    </row>
    <row r="272" spans="1:10" hidden="1">
      <c r="A272" s="1643" t="s">
        <v>2209</v>
      </c>
      <c r="B272" s="75"/>
      <c r="C272" s="71" t="s">
        <v>2848</v>
      </c>
      <c r="D272" s="72" t="s">
        <v>2555</v>
      </c>
      <c r="E272" s="2008" t="str">
        <f t="shared" ref="E272:E337" si="13">LEFT(A272,2)</f>
        <v>KN</v>
      </c>
      <c r="F272" s="54">
        <v>50</v>
      </c>
      <c r="G272" s="54" t="s">
        <v>512</v>
      </c>
      <c r="J272" s="54" t="str">
        <f t="shared" si="12"/>
        <v>KNGUNG22</v>
      </c>
    </row>
    <row r="273" spans="1:10" hidden="1">
      <c r="A273" s="1643" t="s">
        <v>2061</v>
      </c>
      <c r="B273" s="75"/>
      <c r="C273" s="71" t="s">
        <v>2849</v>
      </c>
      <c r="D273" s="72" t="s">
        <v>2555</v>
      </c>
      <c r="E273" s="2008" t="str">
        <f t="shared" si="13"/>
        <v>KN</v>
      </c>
      <c r="F273" s="54">
        <v>50</v>
      </c>
      <c r="G273" s="54" t="s">
        <v>512</v>
      </c>
      <c r="J273" s="54" t="str">
        <f t="shared" si="12"/>
        <v>KNGUNG35</v>
      </c>
    </row>
    <row r="274" spans="1:10" hidden="1">
      <c r="A274" s="1643" t="s">
        <v>313</v>
      </c>
      <c r="B274" s="75"/>
      <c r="C274" s="71" t="s">
        <v>2850</v>
      </c>
      <c r="D274" s="72" t="s">
        <v>2555</v>
      </c>
      <c r="E274" s="2008" t="str">
        <f t="shared" si="13"/>
        <v>KN</v>
      </c>
      <c r="F274" s="54">
        <v>50</v>
      </c>
      <c r="G274" s="54" t="s">
        <v>512</v>
      </c>
      <c r="J274" s="54" t="str">
        <f t="shared" si="12"/>
        <v>KNGUNG50</v>
      </c>
    </row>
    <row r="275" spans="1:10" hidden="1">
      <c r="A275" s="1643" t="s">
        <v>2258</v>
      </c>
      <c r="B275" s="1644" t="s">
        <v>1768</v>
      </c>
      <c r="C275" s="71" t="s">
        <v>2851</v>
      </c>
      <c r="D275" s="72" t="s">
        <v>2555</v>
      </c>
      <c r="E275" s="2008" t="str">
        <f t="shared" si="13"/>
        <v>KN</v>
      </c>
      <c r="F275" s="54">
        <v>50</v>
      </c>
      <c r="G275" s="54" t="s">
        <v>512</v>
      </c>
      <c r="J275" s="54" t="str">
        <f t="shared" si="12"/>
        <v>KNGUNG70</v>
      </c>
    </row>
    <row r="276" spans="1:10" hidden="1">
      <c r="A276" s="1643" t="s">
        <v>1429</v>
      </c>
      <c r="B276" s="75"/>
      <c r="C276" s="71" t="s">
        <v>4758</v>
      </c>
      <c r="D276" s="72" t="s">
        <v>2555</v>
      </c>
      <c r="E276" s="2008" t="str">
        <f t="shared" si="13"/>
        <v>KN</v>
      </c>
      <c r="F276" s="54">
        <v>50</v>
      </c>
      <c r="G276" s="54" t="s">
        <v>512</v>
      </c>
      <c r="J276" s="54" t="str">
        <f t="shared" si="12"/>
        <v>KNGUNG95</v>
      </c>
    </row>
    <row r="277" spans="1:10" hidden="1">
      <c r="A277" s="1643" t="s">
        <v>1428</v>
      </c>
      <c r="B277" s="75"/>
      <c r="C277" s="71" t="s">
        <v>2852</v>
      </c>
      <c r="D277" s="72" t="s">
        <v>2555</v>
      </c>
      <c r="E277" s="2008" t="str">
        <f t="shared" si="13"/>
        <v>KN</v>
      </c>
      <c r="F277" s="54">
        <v>50</v>
      </c>
      <c r="G277" s="54" t="s">
        <v>512</v>
      </c>
      <c r="J277" s="54" t="str">
        <f t="shared" si="12"/>
        <v>KNGUNG120</v>
      </c>
    </row>
    <row r="278" spans="1:10" hidden="1">
      <c r="A278" s="1643" t="s">
        <v>2219</v>
      </c>
      <c r="B278" s="75"/>
      <c r="C278" s="71" t="s">
        <v>2853</v>
      </c>
      <c r="D278" s="72" t="s">
        <v>2555</v>
      </c>
      <c r="E278" s="2008" t="str">
        <f t="shared" si="13"/>
        <v>KN</v>
      </c>
      <c r="F278" s="54">
        <v>50</v>
      </c>
      <c r="G278" s="54" t="s">
        <v>512</v>
      </c>
      <c r="J278" s="54" t="str">
        <f t="shared" si="12"/>
        <v>KNGUNG150</v>
      </c>
    </row>
    <row r="279" spans="1:10" hidden="1">
      <c r="A279" s="71" t="s">
        <v>1813</v>
      </c>
      <c r="B279" s="1638"/>
      <c r="C279" s="71" t="s">
        <v>2854</v>
      </c>
      <c r="D279" s="72" t="s">
        <v>2555</v>
      </c>
      <c r="E279" s="2008" t="str">
        <f t="shared" si="13"/>
        <v>Ho</v>
      </c>
      <c r="F279" s="54">
        <v>50</v>
      </c>
      <c r="G279" s="54" t="s">
        <v>512</v>
      </c>
      <c r="J279" s="54" t="str">
        <f t="shared" si="12"/>
        <v>Hopcap240</v>
      </c>
    </row>
    <row r="280" spans="1:10" hidden="1">
      <c r="A280" s="71" t="s">
        <v>1839</v>
      </c>
      <c r="B280" s="1638"/>
      <c r="C280" s="71" t="s">
        <v>2855</v>
      </c>
      <c r="D280" s="72" t="s">
        <v>2555</v>
      </c>
      <c r="E280" s="2008" t="str">
        <f t="shared" si="13"/>
        <v>Ho</v>
      </c>
      <c r="F280" s="54">
        <v>50</v>
      </c>
      <c r="G280" s="54" t="s">
        <v>512</v>
      </c>
      <c r="J280" s="54" t="str">
        <f t="shared" si="12"/>
        <v>Hopcap185</v>
      </c>
    </row>
    <row r="281" spans="1:10" hidden="1">
      <c r="A281" s="71" t="s">
        <v>1357</v>
      </c>
      <c r="B281" s="1638"/>
      <c r="C281" s="71" t="s">
        <v>2856</v>
      </c>
      <c r="D281" s="72" t="s">
        <v>2555</v>
      </c>
      <c r="E281" s="2008" t="str">
        <f t="shared" si="13"/>
        <v>Ho</v>
      </c>
      <c r="F281" s="54">
        <v>50</v>
      </c>
      <c r="G281" s="54" t="s">
        <v>512</v>
      </c>
      <c r="J281" s="54" t="str">
        <f t="shared" si="12"/>
        <v>Hopcap150</v>
      </c>
    </row>
    <row r="282" spans="1:10" hidden="1">
      <c r="A282" s="71" t="s">
        <v>582</v>
      </c>
      <c r="B282" s="1638"/>
      <c r="C282" s="71" t="s">
        <v>2857</v>
      </c>
      <c r="D282" s="72" t="s">
        <v>2555</v>
      </c>
      <c r="E282" s="2008" t="str">
        <f t="shared" si="13"/>
        <v>Ho</v>
      </c>
      <c r="F282" s="54">
        <v>50</v>
      </c>
      <c r="G282" s="54" t="s">
        <v>512</v>
      </c>
      <c r="J282" s="54" t="str">
        <f t="shared" si="12"/>
        <v>Hopcap120</v>
      </c>
    </row>
    <row r="283" spans="1:10" hidden="1">
      <c r="A283" s="71" t="s">
        <v>47</v>
      </c>
      <c r="B283" s="1638"/>
      <c r="C283" s="71" t="s">
        <v>2858</v>
      </c>
      <c r="D283" s="72" t="s">
        <v>2555</v>
      </c>
      <c r="E283" s="2008" t="str">
        <f t="shared" si="13"/>
        <v>Ho</v>
      </c>
      <c r="F283" s="54">
        <v>50</v>
      </c>
      <c r="G283" s="54" t="s">
        <v>512</v>
      </c>
      <c r="J283" s="54" t="str">
        <f t="shared" si="12"/>
        <v>Hopcap95</v>
      </c>
    </row>
    <row r="284" spans="1:10" hidden="1">
      <c r="A284" s="71" t="s">
        <v>787</v>
      </c>
      <c r="B284" s="1638"/>
      <c r="C284" s="71" t="s">
        <v>2859</v>
      </c>
      <c r="D284" s="72" t="s">
        <v>2555</v>
      </c>
      <c r="E284" s="2008" t="str">
        <f t="shared" si="13"/>
        <v>Ho</v>
      </c>
      <c r="F284" s="54">
        <v>50</v>
      </c>
      <c r="G284" s="54" t="s">
        <v>512</v>
      </c>
      <c r="J284" s="54" t="str">
        <f t="shared" si="12"/>
        <v>Hopcap70</v>
      </c>
    </row>
    <row r="285" spans="1:10" hidden="1">
      <c r="A285" s="71" t="s">
        <v>1053</v>
      </c>
      <c r="B285" s="1638"/>
      <c r="C285" s="71" t="s">
        <v>2860</v>
      </c>
      <c r="D285" s="72" t="s">
        <v>2555</v>
      </c>
      <c r="E285" s="2008" t="str">
        <f t="shared" si="13"/>
        <v>Ho</v>
      </c>
      <c r="F285" s="54">
        <v>50</v>
      </c>
      <c r="G285" s="54" t="s">
        <v>512</v>
      </c>
      <c r="J285" s="54" t="str">
        <f t="shared" si="12"/>
        <v>Hopcap50</v>
      </c>
    </row>
    <row r="286" spans="1:10" hidden="1">
      <c r="A286" s="1645" t="s">
        <v>1156</v>
      </c>
      <c r="B286" s="1644" t="s">
        <v>1768</v>
      </c>
      <c r="C286" s="71" t="s">
        <v>4870</v>
      </c>
      <c r="D286" s="72" t="s">
        <v>2555</v>
      </c>
      <c r="E286" s="2008" t="str">
        <f t="shared" si="13"/>
        <v>HO</v>
      </c>
      <c r="F286" s="54">
        <v>50</v>
      </c>
      <c r="G286" s="54" t="s">
        <v>512</v>
      </c>
      <c r="J286" s="54" t="str">
        <f t="shared" si="12"/>
        <v>HOP9C</v>
      </c>
    </row>
    <row r="287" spans="1:10" hidden="1">
      <c r="A287" s="1645" t="s">
        <v>1157</v>
      </c>
      <c r="B287" s="75"/>
      <c r="C287" s="71" t="s">
        <v>2861</v>
      </c>
      <c r="D287" s="72" t="s">
        <v>2555</v>
      </c>
      <c r="E287" s="2008" t="str">
        <f t="shared" si="13"/>
        <v>HO</v>
      </c>
      <c r="F287" s="54">
        <v>50</v>
      </c>
      <c r="G287" s="54" t="s">
        <v>512</v>
      </c>
      <c r="J287" s="54" t="str">
        <f t="shared" si="12"/>
        <v>HOP6C</v>
      </c>
    </row>
    <row r="288" spans="1:10" hidden="1">
      <c r="A288" s="71" t="s">
        <v>1110</v>
      </c>
      <c r="B288" s="1638"/>
      <c r="C288" s="71" t="s">
        <v>2862</v>
      </c>
      <c r="D288" s="72" t="s">
        <v>856</v>
      </c>
      <c r="E288" s="2008" t="str">
        <f t="shared" si="13"/>
        <v>BT</v>
      </c>
      <c r="F288" s="54">
        <v>50</v>
      </c>
      <c r="G288" s="54" t="s">
        <v>512</v>
      </c>
      <c r="J288" s="54" t="str">
        <f t="shared" si="12"/>
        <v>BTNN</v>
      </c>
    </row>
    <row r="289" spans="1:10" hidden="1">
      <c r="A289" s="71" t="s">
        <v>587</v>
      </c>
      <c r="B289" s="1638"/>
      <c r="C289" s="71" t="s">
        <v>2863</v>
      </c>
      <c r="D289" s="72" t="s">
        <v>856</v>
      </c>
      <c r="E289" s="2008" t="str">
        <f t="shared" si="13"/>
        <v>BT</v>
      </c>
      <c r="F289" s="54">
        <v>50</v>
      </c>
      <c r="G289" s="54" t="s">
        <v>512</v>
      </c>
      <c r="J289" s="54" t="str">
        <f t="shared" si="12"/>
        <v>BTNN min</v>
      </c>
    </row>
    <row r="290" spans="1:10" hidden="1">
      <c r="A290" s="71" t="s">
        <v>1217</v>
      </c>
      <c r="B290" s="1638" t="s">
        <v>2033</v>
      </c>
      <c r="C290" s="71" t="s">
        <v>2864</v>
      </c>
      <c r="D290" s="72" t="s">
        <v>1960</v>
      </c>
      <c r="E290" s="2008" t="str">
        <f t="shared" si="13"/>
        <v>BT</v>
      </c>
      <c r="F290" s="54">
        <v>50</v>
      </c>
      <c r="G290" s="54" t="s">
        <v>512</v>
      </c>
      <c r="J290" s="54" t="str">
        <f t="shared" si="12"/>
        <v>BTNN-TL</v>
      </c>
    </row>
    <row r="291" spans="1:10" hidden="1">
      <c r="A291" s="71" t="s">
        <v>130</v>
      </c>
      <c r="B291" s="1638" t="s">
        <v>908</v>
      </c>
      <c r="C291" s="71" t="s">
        <v>2865</v>
      </c>
      <c r="D291" s="72" t="s">
        <v>1960</v>
      </c>
      <c r="E291" s="2008" t="str">
        <f t="shared" si="13"/>
        <v>BT</v>
      </c>
      <c r="F291" s="54">
        <v>50</v>
      </c>
      <c r="G291" s="54" t="s">
        <v>512</v>
      </c>
      <c r="J291" s="54" t="str">
        <f t="shared" si="12"/>
        <v>BTNN-TL min</v>
      </c>
    </row>
    <row r="292" spans="1:10" hidden="1">
      <c r="A292" s="71" t="s">
        <v>1064</v>
      </c>
      <c r="B292" s="75" t="s">
        <v>153</v>
      </c>
      <c r="C292" s="71" t="s">
        <v>1065</v>
      </c>
      <c r="D292" s="72" t="s">
        <v>1960</v>
      </c>
      <c r="E292" s="2008" t="str">
        <f t="shared" si="13"/>
        <v>BT</v>
      </c>
      <c r="F292" s="54">
        <v>50</v>
      </c>
      <c r="G292" s="54" t="s">
        <v>512</v>
      </c>
      <c r="J292" s="54" t="str">
        <f t="shared" si="12"/>
        <v>BT</v>
      </c>
    </row>
    <row r="293" spans="1:10" hidden="1">
      <c r="A293" s="1643" t="s">
        <v>2220</v>
      </c>
      <c r="B293" s="75"/>
      <c r="C293" s="71" t="s">
        <v>2866</v>
      </c>
      <c r="D293" s="72" t="s">
        <v>2555</v>
      </c>
      <c r="E293" s="2008" t="str">
        <f t="shared" si="13"/>
        <v>BI</v>
      </c>
      <c r="F293" s="54">
        <v>50</v>
      </c>
      <c r="G293" s="54" t="s">
        <v>512</v>
      </c>
      <c r="J293" s="54" t="str">
        <f t="shared" si="12"/>
        <v>BIT150</v>
      </c>
    </row>
    <row r="294" spans="1:10" hidden="1">
      <c r="A294" s="1643" t="s">
        <v>314</v>
      </c>
      <c r="B294" s="75"/>
      <c r="C294" s="71" t="s">
        <v>2867</v>
      </c>
      <c r="D294" s="72" t="s">
        <v>2555</v>
      </c>
      <c r="E294" s="2008" t="str">
        <f t="shared" si="13"/>
        <v>BI</v>
      </c>
      <c r="F294" s="54">
        <v>50</v>
      </c>
      <c r="G294" s="54" t="s">
        <v>512</v>
      </c>
      <c r="J294" s="54" t="str">
        <f t="shared" si="12"/>
        <v>BIT120</v>
      </c>
    </row>
    <row r="295" spans="1:10" hidden="1">
      <c r="A295" s="1643" t="s">
        <v>858</v>
      </c>
      <c r="B295" s="75"/>
      <c r="C295" s="71" t="s">
        <v>2868</v>
      </c>
      <c r="D295" s="72" t="s">
        <v>2555</v>
      </c>
      <c r="E295" s="2008" t="str">
        <f t="shared" si="13"/>
        <v>BI</v>
      </c>
      <c r="F295" s="54">
        <v>50</v>
      </c>
      <c r="G295" s="54" t="s">
        <v>512</v>
      </c>
      <c r="J295" s="54" t="str">
        <f t="shared" si="12"/>
        <v>BIT95</v>
      </c>
    </row>
    <row r="296" spans="1:10" hidden="1">
      <c r="A296" s="1643" t="s">
        <v>859</v>
      </c>
      <c r="B296" s="75"/>
      <c r="C296" s="71" t="s">
        <v>2869</v>
      </c>
      <c r="D296" s="72" t="s">
        <v>2555</v>
      </c>
      <c r="E296" s="2008" t="str">
        <f t="shared" si="13"/>
        <v>BI</v>
      </c>
      <c r="F296" s="54">
        <v>50</v>
      </c>
      <c r="G296" s="54" t="s">
        <v>512</v>
      </c>
      <c r="J296" s="54" t="str">
        <f t="shared" si="12"/>
        <v>BIT70</v>
      </c>
    </row>
    <row r="297" spans="1:10" hidden="1">
      <c r="A297" s="1643" t="s">
        <v>860</v>
      </c>
      <c r="B297" s="75"/>
      <c r="C297" s="71" t="s">
        <v>2870</v>
      </c>
      <c r="D297" s="72" t="s">
        <v>2555</v>
      </c>
      <c r="E297" s="2008" t="str">
        <f t="shared" si="13"/>
        <v>BI</v>
      </c>
      <c r="F297" s="54">
        <v>50</v>
      </c>
      <c r="G297" s="54" t="s">
        <v>512</v>
      </c>
      <c r="J297" s="54" t="str">
        <f t="shared" si="12"/>
        <v>BIT50</v>
      </c>
    </row>
    <row r="298" spans="1:10" hidden="1">
      <c r="A298" s="1643" t="s">
        <v>4289</v>
      </c>
      <c r="B298" s="75"/>
      <c r="C298" s="71" t="s">
        <v>2562</v>
      </c>
      <c r="D298" s="72" t="s">
        <v>2555</v>
      </c>
      <c r="E298" s="2008" t="str">
        <f t="shared" si="13"/>
        <v>BI</v>
      </c>
      <c r="F298" s="54">
        <v>50</v>
      </c>
      <c r="G298" s="54" t="s">
        <v>512</v>
      </c>
      <c r="J298" s="54" t="str">
        <f t="shared" si="12"/>
        <v>BIT35</v>
      </c>
    </row>
    <row r="299" spans="1:10" hidden="1">
      <c r="A299" s="71" t="s">
        <v>4321</v>
      </c>
      <c r="B299" s="75"/>
      <c r="C299" s="71" t="s">
        <v>4320</v>
      </c>
      <c r="D299" s="72" t="s">
        <v>2555</v>
      </c>
      <c r="E299" s="2008" t="str">
        <f t="shared" si="13"/>
        <v>KE</v>
      </c>
      <c r="F299" s="54">
        <v>50</v>
      </c>
      <c r="G299" s="54" t="s">
        <v>512</v>
      </c>
      <c r="J299" s="54" t="str">
        <f t="shared" si="12"/>
        <v>KE399</v>
      </c>
    </row>
    <row r="300" spans="1:10" hidden="1">
      <c r="A300" s="71" t="s">
        <v>1115</v>
      </c>
      <c r="B300" s="75"/>
      <c r="C300" s="71" t="s">
        <v>2871</v>
      </c>
      <c r="D300" s="72" t="s">
        <v>2555</v>
      </c>
      <c r="E300" s="2008" t="str">
        <f t="shared" si="13"/>
        <v>KE</v>
      </c>
      <c r="F300" s="54">
        <v>50</v>
      </c>
      <c r="G300" s="54" t="s">
        <v>512</v>
      </c>
      <c r="J300" s="54" t="str">
        <f t="shared" si="12"/>
        <v>KE25</v>
      </c>
    </row>
    <row r="301" spans="1:10" hidden="1">
      <c r="A301" s="71" t="s">
        <v>239</v>
      </c>
      <c r="B301" s="75"/>
      <c r="C301" s="71" t="s">
        <v>2872</v>
      </c>
      <c r="D301" s="72" t="s">
        <v>2555</v>
      </c>
      <c r="E301" s="2008" t="str">
        <f t="shared" si="13"/>
        <v>KE</v>
      </c>
      <c r="F301" s="54">
        <v>50</v>
      </c>
      <c r="G301" s="54" t="s">
        <v>512</v>
      </c>
      <c r="J301" s="54" t="str">
        <f t="shared" si="12"/>
        <v>KE35</v>
      </c>
    </row>
    <row r="302" spans="1:10" hidden="1">
      <c r="A302" s="71" t="s">
        <v>1579</v>
      </c>
      <c r="B302" s="75"/>
      <c r="C302" s="71" t="s">
        <v>2873</v>
      </c>
      <c r="D302" s="72" t="s">
        <v>2555</v>
      </c>
      <c r="E302" s="2008" t="str">
        <f t="shared" si="13"/>
        <v>KE</v>
      </c>
      <c r="F302" s="54">
        <v>50</v>
      </c>
      <c r="G302" s="54" t="s">
        <v>512</v>
      </c>
      <c r="J302" s="54" t="str">
        <f t="shared" si="12"/>
        <v>KE50</v>
      </c>
    </row>
    <row r="303" spans="1:10" hidden="1">
      <c r="A303" s="71" t="s">
        <v>1580</v>
      </c>
      <c r="B303" s="75"/>
      <c r="C303" s="71" t="s">
        <v>2874</v>
      </c>
      <c r="D303" s="72" t="s">
        <v>2555</v>
      </c>
      <c r="E303" s="2008" t="str">
        <f t="shared" si="13"/>
        <v>KE</v>
      </c>
      <c r="F303" s="54">
        <v>50</v>
      </c>
      <c r="G303" s="54" t="s">
        <v>512</v>
      </c>
      <c r="J303" s="54" t="str">
        <f t="shared" si="12"/>
        <v>KE70</v>
      </c>
    </row>
    <row r="304" spans="1:10" hidden="1">
      <c r="A304" s="71" t="s">
        <v>240</v>
      </c>
      <c r="B304" s="75"/>
      <c r="C304" s="71" t="s">
        <v>2875</v>
      </c>
      <c r="D304" s="72" t="s">
        <v>2555</v>
      </c>
      <c r="E304" s="2008" t="str">
        <f t="shared" si="13"/>
        <v>KE</v>
      </c>
      <c r="F304" s="54">
        <v>50</v>
      </c>
      <c r="G304" s="54" t="s">
        <v>512</v>
      </c>
      <c r="J304" s="54" t="str">
        <f t="shared" si="12"/>
        <v>KE95</v>
      </c>
    </row>
    <row r="305" spans="1:10" hidden="1">
      <c r="A305" s="71" t="s">
        <v>241</v>
      </c>
      <c r="B305" s="75"/>
      <c r="C305" s="71" t="s">
        <v>2876</v>
      </c>
      <c r="D305" s="72" t="s">
        <v>2555</v>
      </c>
      <c r="E305" s="2008" t="str">
        <f t="shared" si="13"/>
        <v>KE</v>
      </c>
      <c r="F305" s="54">
        <v>50</v>
      </c>
      <c r="G305" s="54" t="s">
        <v>512</v>
      </c>
      <c r="J305" s="54" t="str">
        <f t="shared" si="12"/>
        <v>KE120</v>
      </c>
    </row>
    <row r="306" spans="1:10" hidden="1">
      <c r="A306" s="71" t="s">
        <v>16</v>
      </c>
      <c r="B306" s="75"/>
      <c r="C306" s="71" t="s">
        <v>2877</v>
      </c>
      <c r="D306" s="72" t="s">
        <v>2555</v>
      </c>
      <c r="E306" s="2008" t="str">
        <f t="shared" si="13"/>
        <v>KE</v>
      </c>
      <c r="F306" s="54">
        <v>50</v>
      </c>
      <c r="G306" s="54" t="s">
        <v>512</v>
      </c>
      <c r="J306" s="54" t="str">
        <f t="shared" si="12"/>
        <v>KE150</v>
      </c>
    </row>
    <row r="307" spans="1:10" hidden="1">
      <c r="A307" s="71" t="s">
        <v>708</v>
      </c>
      <c r="B307" s="75"/>
      <c r="C307" s="71" t="s">
        <v>2878</v>
      </c>
      <c r="D307" s="72" t="s">
        <v>2555</v>
      </c>
      <c r="E307" s="2008" t="str">
        <f t="shared" si="13"/>
        <v>KE</v>
      </c>
      <c r="F307" s="54">
        <v>50</v>
      </c>
      <c r="G307" s="54" t="s">
        <v>512</v>
      </c>
      <c r="J307" s="54" t="str">
        <f t="shared" si="12"/>
        <v>KE185</v>
      </c>
    </row>
    <row r="308" spans="1:10" hidden="1">
      <c r="A308" s="71" t="s">
        <v>709</v>
      </c>
      <c r="B308" s="75"/>
      <c r="C308" s="71" t="s">
        <v>2879</v>
      </c>
      <c r="D308" s="72" t="s">
        <v>2555</v>
      </c>
      <c r="E308" s="2008" t="str">
        <f t="shared" si="13"/>
        <v>KE</v>
      </c>
      <c r="F308" s="54">
        <v>50</v>
      </c>
      <c r="G308" s="54" t="s">
        <v>512</v>
      </c>
      <c r="J308" s="54" t="str">
        <f t="shared" si="12"/>
        <v>KE240</v>
      </c>
    </row>
    <row r="309" spans="1:10" hidden="1">
      <c r="A309" s="71" t="s">
        <v>1478</v>
      </c>
      <c r="B309" s="1638"/>
      <c r="C309" s="71" t="s">
        <v>2880</v>
      </c>
      <c r="D309" s="72" t="s">
        <v>2555</v>
      </c>
      <c r="E309" s="2008" t="str">
        <f t="shared" si="13"/>
        <v>KC</v>
      </c>
      <c r="F309" s="54">
        <v>50</v>
      </c>
      <c r="G309" s="54" t="s">
        <v>512</v>
      </c>
      <c r="J309" s="54" t="str">
        <f t="shared" si="12"/>
        <v>KCUAL</v>
      </c>
    </row>
    <row r="310" spans="1:10" hidden="1">
      <c r="A310" s="71" t="s">
        <v>1873</v>
      </c>
      <c r="B310" s="1638"/>
      <c r="C310" s="71" t="s">
        <v>2881</v>
      </c>
      <c r="D310" s="72" t="s">
        <v>2555</v>
      </c>
      <c r="E310" s="2008" t="str">
        <f t="shared" si="13"/>
        <v>KC</v>
      </c>
      <c r="F310" s="54">
        <v>50</v>
      </c>
      <c r="G310" s="54" t="s">
        <v>512</v>
      </c>
      <c r="J310" s="54" t="str">
        <f t="shared" si="12"/>
        <v>KCUAL60</v>
      </c>
    </row>
    <row r="311" spans="1:10" hidden="1">
      <c r="A311" s="71" t="s">
        <v>1479</v>
      </c>
      <c r="B311" s="75" t="s">
        <v>1757</v>
      </c>
      <c r="C311" s="71" t="s">
        <v>3790</v>
      </c>
      <c r="D311" s="72" t="s">
        <v>2555</v>
      </c>
      <c r="E311" s="2008" t="str">
        <f>LEFT(A311,2)</f>
        <v>KQ</v>
      </c>
      <c r="F311" s="54">
        <v>50</v>
      </c>
      <c r="G311" s="54" t="s">
        <v>512</v>
      </c>
      <c r="J311" s="54" t="str">
        <f t="shared" si="12"/>
        <v>KQ2/0</v>
      </c>
    </row>
    <row r="312" spans="1:10" hidden="1">
      <c r="A312" s="71" t="s">
        <v>6513</v>
      </c>
      <c r="B312" s="75" t="s">
        <v>1757</v>
      </c>
      <c r="C312" s="71" t="s">
        <v>4343</v>
      </c>
      <c r="D312" s="72" t="s">
        <v>2439</v>
      </c>
      <c r="E312" s="2008" t="str">
        <f t="shared" si="13"/>
        <v>KQ</v>
      </c>
      <c r="F312" s="54">
        <v>50</v>
      </c>
      <c r="G312" s="54" t="s">
        <v>512</v>
      </c>
      <c r="J312" s="54" t="str">
        <f t="shared" si="12"/>
        <v>KQ2/0-C</v>
      </c>
    </row>
    <row r="313" spans="1:10" hidden="1">
      <c r="A313" s="71" t="s">
        <v>236</v>
      </c>
      <c r="B313" s="75" t="s">
        <v>1757</v>
      </c>
      <c r="C313" s="71" t="s">
        <v>2882</v>
      </c>
      <c r="D313" s="72" t="s">
        <v>2555</v>
      </c>
      <c r="E313" s="2008" t="str">
        <f t="shared" si="13"/>
        <v>KQ</v>
      </c>
      <c r="F313" s="54">
        <v>50</v>
      </c>
      <c r="G313" s="54" t="s">
        <v>512</v>
      </c>
      <c r="J313" s="54" t="str">
        <f t="shared" si="12"/>
        <v>KQ4/0</v>
      </c>
    </row>
    <row r="314" spans="1:10" hidden="1">
      <c r="A314" s="71" t="s">
        <v>6512</v>
      </c>
      <c r="B314" s="75" t="s">
        <v>1757</v>
      </c>
      <c r="C314" s="71" t="s">
        <v>4492</v>
      </c>
      <c r="D314" s="72" t="s">
        <v>2555</v>
      </c>
      <c r="E314" s="2008" t="str">
        <f>LEFT(A314,2)</f>
        <v>KQ</v>
      </c>
      <c r="F314" s="54">
        <v>50</v>
      </c>
      <c r="G314" s="54" t="s">
        <v>512</v>
      </c>
      <c r="J314" s="54" t="str">
        <f t="shared" si="12"/>
        <v>KQ4/0-C</v>
      </c>
    </row>
    <row r="315" spans="1:10" hidden="1">
      <c r="A315" s="71" t="s">
        <v>1477</v>
      </c>
      <c r="B315" s="75" t="s">
        <v>1757</v>
      </c>
      <c r="C315" s="71" t="s">
        <v>4333</v>
      </c>
      <c r="D315" s="72" t="s">
        <v>2555</v>
      </c>
      <c r="E315" s="2008" t="str">
        <f t="shared" si="13"/>
        <v>KH</v>
      </c>
      <c r="F315" s="54">
        <v>50</v>
      </c>
      <c r="G315" s="54" t="s">
        <v>512</v>
      </c>
      <c r="J315" s="54" t="str">
        <f t="shared" si="12"/>
        <v>KH2/0</v>
      </c>
    </row>
    <row r="316" spans="1:10" hidden="1">
      <c r="A316" s="71" t="s">
        <v>1049</v>
      </c>
      <c r="B316" s="75" t="s">
        <v>1757</v>
      </c>
      <c r="C316" s="71" t="s">
        <v>2883</v>
      </c>
      <c r="D316" s="72" t="s">
        <v>2555</v>
      </c>
      <c r="E316" s="2008" t="str">
        <f t="shared" si="13"/>
        <v>KH</v>
      </c>
      <c r="F316" s="54">
        <v>50</v>
      </c>
      <c r="G316" s="54" t="s">
        <v>512</v>
      </c>
      <c r="J316" s="54" t="str">
        <f t="shared" si="12"/>
        <v>KH4/0</v>
      </c>
    </row>
    <row r="317" spans="1:10" hidden="1">
      <c r="A317" s="71" t="s">
        <v>1670</v>
      </c>
      <c r="B317" s="75" t="s">
        <v>1757</v>
      </c>
      <c r="C317" s="71" t="s">
        <v>2884</v>
      </c>
      <c r="D317" s="72" t="s">
        <v>2555</v>
      </c>
      <c r="E317" s="2008" t="str">
        <f t="shared" si="13"/>
        <v>KH</v>
      </c>
      <c r="F317" s="54">
        <v>50</v>
      </c>
      <c r="G317" s="54" t="s">
        <v>512</v>
      </c>
      <c r="J317" s="54" t="str">
        <f t="shared" si="12"/>
        <v>KH350M</v>
      </c>
    </row>
    <row r="318" spans="1:10" hidden="1">
      <c r="A318" s="71" t="s">
        <v>955</v>
      </c>
      <c r="B318" s="1638"/>
      <c r="C318" s="71" t="s">
        <v>2885</v>
      </c>
      <c r="D318" s="72" t="s">
        <v>2555</v>
      </c>
      <c r="E318" s="2008" t="str">
        <f t="shared" si="13"/>
        <v>KE</v>
      </c>
      <c r="F318" s="54">
        <v>50</v>
      </c>
      <c r="G318" s="54" t="s">
        <v>512</v>
      </c>
      <c r="J318" s="54" t="str">
        <f t="shared" si="12"/>
        <v>KEU35</v>
      </c>
    </row>
    <row r="319" spans="1:10" hidden="1">
      <c r="A319" s="71" t="s">
        <v>2161</v>
      </c>
      <c r="B319" s="1638"/>
      <c r="C319" s="71" t="s">
        <v>2886</v>
      </c>
      <c r="D319" s="72" t="s">
        <v>2555</v>
      </c>
      <c r="E319" s="2008" t="str">
        <f t="shared" si="13"/>
        <v>KE</v>
      </c>
      <c r="F319" s="54">
        <v>50</v>
      </c>
      <c r="G319" s="54" t="s">
        <v>512</v>
      </c>
      <c r="J319" s="54" t="str">
        <f t="shared" si="12"/>
        <v>KEU50</v>
      </c>
    </row>
    <row r="320" spans="1:10" hidden="1">
      <c r="A320" s="71" t="s">
        <v>2162</v>
      </c>
      <c r="B320" s="1638"/>
      <c r="C320" s="71" t="s">
        <v>2887</v>
      </c>
      <c r="D320" s="72" t="s">
        <v>2555</v>
      </c>
      <c r="E320" s="2008" t="str">
        <f t="shared" si="13"/>
        <v>KE</v>
      </c>
      <c r="F320" s="54">
        <v>50</v>
      </c>
      <c r="G320" s="54" t="s">
        <v>512</v>
      </c>
      <c r="J320" s="54" t="str">
        <f t="shared" si="12"/>
        <v>KEU70</v>
      </c>
    </row>
    <row r="321" spans="1:10" hidden="1">
      <c r="A321" s="71" t="s">
        <v>1598</v>
      </c>
      <c r="B321" s="1638"/>
      <c r="C321" s="71" t="s">
        <v>2888</v>
      </c>
      <c r="D321" s="72" t="s">
        <v>2555</v>
      </c>
      <c r="E321" s="2008" t="str">
        <f t="shared" si="13"/>
        <v>KE</v>
      </c>
      <c r="F321" s="54">
        <v>50</v>
      </c>
      <c r="G321" s="54" t="s">
        <v>512</v>
      </c>
      <c r="J321" s="54" t="str">
        <f t="shared" si="12"/>
        <v>KEU95</v>
      </c>
    </row>
    <row r="322" spans="1:10" hidden="1">
      <c r="A322" s="1639" t="s">
        <v>1852</v>
      </c>
      <c r="B322" s="75"/>
      <c r="C322" s="71" t="s">
        <v>2889</v>
      </c>
      <c r="D322" s="72" t="s">
        <v>2555</v>
      </c>
      <c r="E322" s="2008" t="str">
        <f t="shared" si="13"/>
        <v>Kd</v>
      </c>
      <c r="F322" s="54">
        <v>50</v>
      </c>
      <c r="G322" s="54" t="s">
        <v>512</v>
      </c>
      <c r="J322" s="54" t="str">
        <f t="shared" si="12"/>
        <v>Kd50</v>
      </c>
    </row>
    <row r="323" spans="1:10" hidden="1">
      <c r="A323" s="1639" t="s">
        <v>359</v>
      </c>
      <c r="B323" s="75"/>
      <c r="C323" s="71" t="s">
        <v>2890</v>
      </c>
      <c r="D323" s="72" t="s">
        <v>2555</v>
      </c>
      <c r="E323" s="2008" t="str">
        <f t="shared" si="13"/>
        <v>Kd</v>
      </c>
      <c r="F323" s="54">
        <v>50</v>
      </c>
      <c r="G323" s="54" t="s">
        <v>512</v>
      </c>
      <c r="J323" s="54" t="str">
        <f t="shared" si="12"/>
        <v>Kd70</v>
      </c>
    </row>
    <row r="324" spans="1:10" hidden="1">
      <c r="A324" s="1639" t="s">
        <v>2254</v>
      </c>
      <c r="B324" s="75"/>
      <c r="C324" s="71" t="s">
        <v>2891</v>
      </c>
      <c r="D324" s="72" t="s">
        <v>2555</v>
      </c>
      <c r="E324" s="2008" t="str">
        <f t="shared" si="13"/>
        <v>Kd</v>
      </c>
      <c r="F324" s="54">
        <v>50</v>
      </c>
      <c r="G324" s="54" t="s">
        <v>512</v>
      </c>
      <c r="J324" s="54" t="str">
        <f t="shared" si="12"/>
        <v>Kd95</v>
      </c>
    </row>
    <row r="325" spans="1:10" hidden="1">
      <c r="A325" s="1639" t="s">
        <v>2255</v>
      </c>
      <c r="B325" s="75"/>
      <c r="C325" s="71" t="s">
        <v>2892</v>
      </c>
      <c r="D325" s="72" t="s">
        <v>2555</v>
      </c>
      <c r="E325" s="2008" t="str">
        <f t="shared" si="13"/>
        <v>Kd</v>
      </c>
      <c r="F325" s="54">
        <v>50</v>
      </c>
      <c r="G325" s="54" t="s">
        <v>512</v>
      </c>
      <c r="J325" s="54" t="str">
        <f t="shared" si="12"/>
        <v>Kd120</v>
      </c>
    </row>
    <row r="326" spans="1:10" hidden="1">
      <c r="A326" s="1639" t="s">
        <v>329</v>
      </c>
      <c r="B326" s="75"/>
      <c r="C326" s="71" t="s">
        <v>2893</v>
      </c>
      <c r="D326" s="72" t="s">
        <v>2555</v>
      </c>
      <c r="E326" s="2008" t="str">
        <f t="shared" si="13"/>
        <v>Kd</v>
      </c>
      <c r="F326" s="54">
        <v>50</v>
      </c>
      <c r="G326" s="54" t="s">
        <v>512</v>
      </c>
      <c r="J326" s="54" t="str">
        <f t="shared" si="12"/>
        <v>Kd150</v>
      </c>
    </row>
    <row r="327" spans="1:10" hidden="1">
      <c r="A327" s="1639" t="s">
        <v>330</v>
      </c>
      <c r="B327" s="75"/>
      <c r="C327" s="71" t="s">
        <v>2894</v>
      </c>
      <c r="D327" s="72" t="s">
        <v>2555</v>
      </c>
      <c r="E327" s="2008" t="str">
        <f t="shared" si="13"/>
        <v>Kd</v>
      </c>
      <c r="F327" s="54">
        <v>50</v>
      </c>
      <c r="G327" s="54" t="s">
        <v>512</v>
      </c>
      <c r="J327" s="54" t="str">
        <f t="shared" si="12"/>
        <v>Kd185</v>
      </c>
    </row>
    <row r="328" spans="1:10" hidden="1">
      <c r="A328" s="1639" t="s">
        <v>331</v>
      </c>
      <c r="B328" s="75"/>
      <c r="C328" s="71" t="s">
        <v>2895</v>
      </c>
      <c r="D328" s="72" t="s">
        <v>2555</v>
      </c>
      <c r="E328" s="2008" t="str">
        <f t="shared" si="13"/>
        <v>Kd</v>
      </c>
      <c r="F328" s="54">
        <v>50</v>
      </c>
      <c r="G328" s="54" t="s">
        <v>512</v>
      </c>
      <c r="J328" s="54" t="str">
        <f t="shared" si="12"/>
        <v>Kd240</v>
      </c>
    </row>
    <row r="329" spans="1:10" hidden="1">
      <c r="A329" s="1639" t="s">
        <v>1480</v>
      </c>
      <c r="B329" s="75"/>
      <c r="C329" s="71" t="s">
        <v>2896</v>
      </c>
      <c r="D329" s="72" t="s">
        <v>2555</v>
      </c>
      <c r="E329" s="2008" t="str">
        <f t="shared" si="13"/>
        <v>KD</v>
      </c>
      <c r="F329" s="54">
        <v>50</v>
      </c>
      <c r="G329" s="54" t="s">
        <v>512</v>
      </c>
      <c r="J329" s="54" t="str">
        <f t="shared" si="12"/>
        <v>KD357</v>
      </c>
    </row>
    <row r="330" spans="1:10" hidden="1">
      <c r="A330" s="1639" t="s">
        <v>2253</v>
      </c>
      <c r="B330" s="75"/>
      <c r="C330" s="71" t="s">
        <v>2897</v>
      </c>
      <c r="D330" s="72" t="s">
        <v>2555</v>
      </c>
      <c r="E330" s="2008" t="str">
        <f t="shared" si="13"/>
        <v>KD</v>
      </c>
      <c r="F330" s="54">
        <v>50</v>
      </c>
      <c r="G330" s="54" t="s">
        <v>512</v>
      </c>
      <c r="J330" s="54" t="str">
        <f t="shared" si="12"/>
        <v>KD912</v>
      </c>
    </row>
    <row r="331" spans="1:10" hidden="1">
      <c r="A331" s="1639" t="s">
        <v>1673</v>
      </c>
      <c r="B331" s="75"/>
      <c r="C331" s="71" t="s">
        <v>2898</v>
      </c>
      <c r="D331" s="72" t="s">
        <v>2555</v>
      </c>
      <c r="E331" s="2008" t="str">
        <f t="shared" si="13"/>
        <v>KD</v>
      </c>
      <c r="F331" s="54">
        <v>50</v>
      </c>
      <c r="G331" s="54" t="s">
        <v>512</v>
      </c>
      <c r="J331" s="54" t="str">
        <f t="shared" ref="J331:J403" si="14">A331</f>
        <v>KD158</v>
      </c>
    </row>
    <row r="332" spans="1:10" hidden="1">
      <c r="A332" s="71" t="s">
        <v>479</v>
      </c>
      <c r="B332" s="1638"/>
      <c r="C332" s="71" t="s">
        <v>2899</v>
      </c>
      <c r="D332" s="72" t="s">
        <v>2555</v>
      </c>
      <c r="E332" s="2008" t="str">
        <f t="shared" si="13"/>
        <v>KN</v>
      </c>
      <c r="F332" s="54">
        <v>50</v>
      </c>
      <c r="G332" s="54" t="s">
        <v>512</v>
      </c>
      <c r="J332" s="54" t="str">
        <f t="shared" si="14"/>
        <v>KN35</v>
      </c>
    </row>
    <row r="333" spans="1:10" hidden="1">
      <c r="A333" s="71" t="s">
        <v>1482</v>
      </c>
      <c r="B333" s="1638"/>
      <c r="C333" s="71" t="s">
        <v>2900</v>
      </c>
      <c r="D333" s="72" t="s">
        <v>2555</v>
      </c>
      <c r="E333" s="2008" t="str">
        <f t="shared" si="13"/>
        <v>KN</v>
      </c>
      <c r="F333" s="54">
        <v>50</v>
      </c>
      <c r="G333" s="54" t="s">
        <v>512</v>
      </c>
      <c r="J333" s="54" t="str">
        <f t="shared" si="14"/>
        <v>KN50</v>
      </c>
    </row>
    <row r="334" spans="1:10" hidden="1">
      <c r="A334" s="1639" t="s">
        <v>2231</v>
      </c>
      <c r="B334" s="75"/>
      <c r="C334" s="71" t="s">
        <v>2901</v>
      </c>
      <c r="D334" s="72" t="s">
        <v>2555</v>
      </c>
      <c r="E334" s="2008" t="str">
        <f t="shared" si="13"/>
        <v>KN</v>
      </c>
      <c r="F334" s="54">
        <v>50</v>
      </c>
      <c r="G334" s="54" t="s">
        <v>512</v>
      </c>
      <c r="J334" s="54" t="str">
        <f t="shared" si="14"/>
        <v>KN70</v>
      </c>
    </row>
    <row r="335" spans="1:10" hidden="1">
      <c r="A335" s="1639" t="s">
        <v>1257</v>
      </c>
      <c r="B335" s="75"/>
      <c r="C335" s="71" t="s">
        <v>2902</v>
      </c>
      <c r="D335" s="72" t="s">
        <v>2555</v>
      </c>
      <c r="E335" s="2008" t="str">
        <f t="shared" si="13"/>
        <v>KN</v>
      </c>
      <c r="F335" s="54">
        <v>50</v>
      </c>
      <c r="G335" s="54" t="s">
        <v>512</v>
      </c>
      <c r="J335" s="54" t="str">
        <f t="shared" si="14"/>
        <v>KN95</v>
      </c>
    </row>
    <row r="336" spans="1:10" hidden="1">
      <c r="A336" s="1639" t="s">
        <v>431</v>
      </c>
      <c r="B336" s="75"/>
      <c r="C336" s="71" t="s">
        <v>2903</v>
      </c>
      <c r="D336" s="72" t="s">
        <v>2555</v>
      </c>
      <c r="E336" s="2008" t="str">
        <f t="shared" si="13"/>
        <v>KN</v>
      </c>
      <c r="F336" s="54">
        <v>50</v>
      </c>
      <c r="G336" s="54" t="s">
        <v>512</v>
      </c>
      <c r="J336" s="54" t="str">
        <f t="shared" si="14"/>
        <v>KN120</v>
      </c>
    </row>
    <row r="337" spans="1:10" hidden="1">
      <c r="A337" s="1639" t="s">
        <v>2109</v>
      </c>
      <c r="B337" s="75"/>
      <c r="C337" s="71" t="s">
        <v>2904</v>
      </c>
      <c r="D337" s="72" t="s">
        <v>2555</v>
      </c>
      <c r="E337" s="2008" t="str">
        <f t="shared" si="13"/>
        <v>KN</v>
      </c>
      <c r="F337" s="54">
        <v>50</v>
      </c>
      <c r="G337" s="54" t="s">
        <v>512</v>
      </c>
      <c r="J337" s="54" t="str">
        <f t="shared" si="14"/>
        <v>KN150</v>
      </c>
    </row>
    <row r="338" spans="1:10" hidden="1">
      <c r="A338" s="1639" t="s">
        <v>1742</v>
      </c>
      <c r="B338" s="75"/>
      <c r="C338" s="71" t="s">
        <v>2905</v>
      </c>
      <c r="D338" s="72" t="s">
        <v>2555</v>
      </c>
      <c r="E338" s="2008" t="str">
        <f t="shared" ref="E338:E423" si="15">LEFT(A338,2)</f>
        <v>KN</v>
      </c>
      <c r="F338" s="54">
        <v>50</v>
      </c>
      <c r="G338" s="54" t="s">
        <v>512</v>
      </c>
      <c r="J338" s="54" t="str">
        <f t="shared" si="14"/>
        <v>KN185</v>
      </c>
    </row>
    <row r="339" spans="1:10" hidden="1">
      <c r="A339" s="1639" t="s">
        <v>1741</v>
      </c>
      <c r="B339" s="75"/>
      <c r="C339" s="71" t="s">
        <v>2906</v>
      </c>
      <c r="D339" s="72" t="s">
        <v>2555</v>
      </c>
      <c r="E339" s="2008" t="str">
        <f t="shared" si="15"/>
        <v>KN</v>
      </c>
      <c r="F339" s="54">
        <v>50</v>
      </c>
      <c r="G339" s="54" t="s">
        <v>512</v>
      </c>
      <c r="J339" s="54" t="str">
        <f t="shared" si="14"/>
        <v>KN240</v>
      </c>
    </row>
    <row r="340" spans="1:10" hidden="1">
      <c r="A340" s="1639" t="s">
        <v>106</v>
      </c>
      <c r="B340" s="75"/>
      <c r="C340" s="71" t="s">
        <v>2907</v>
      </c>
      <c r="D340" s="72" t="s">
        <v>2555</v>
      </c>
      <c r="E340" s="2008" t="str">
        <f t="shared" si="15"/>
        <v>KN</v>
      </c>
      <c r="F340" s="54">
        <v>50</v>
      </c>
      <c r="G340" s="54" t="s">
        <v>512</v>
      </c>
      <c r="J340" s="54" t="str">
        <f t="shared" si="14"/>
        <v>KN158</v>
      </c>
    </row>
    <row r="341" spans="1:10" hidden="1">
      <c r="A341" s="1639" t="s">
        <v>1596</v>
      </c>
      <c r="B341" s="75"/>
      <c r="C341" s="71" t="s">
        <v>2908</v>
      </c>
      <c r="D341" s="72" t="s">
        <v>2555</v>
      </c>
      <c r="E341" s="2008" t="str">
        <f t="shared" si="15"/>
        <v>KN</v>
      </c>
      <c r="F341" s="54">
        <v>50</v>
      </c>
      <c r="G341" s="54" t="s">
        <v>512</v>
      </c>
      <c r="J341" s="54" t="str">
        <f t="shared" si="14"/>
        <v>KN912</v>
      </c>
    </row>
    <row r="342" spans="1:10" hidden="1">
      <c r="A342" s="1639" t="s">
        <v>1483</v>
      </c>
      <c r="B342" s="75"/>
      <c r="C342" s="71" t="s">
        <v>2909</v>
      </c>
      <c r="D342" s="72" t="s">
        <v>2555</v>
      </c>
      <c r="E342" s="2008" t="str">
        <f t="shared" si="15"/>
        <v>KN</v>
      </c>
      <c r="F342" s="54">
        <v>50</v>
      </c>
      <c r="G342" s="54" t="s">
        <v>512</v>
      </c>
      <c r="J342" s="54" t="str">
        <f t="shared" si="14"/>
        <v>KN357</v>
      </c>
    </row>
    <row r="343" spans="1:10" hidden="1">
      <c r="A343" s="71" t="s">
        <v>544</v>
      </c>
      <c r="B343" s="75"/>
      <c r="C343" s="71" t="s">
        <v>4869</v>
      </c>
      <c r="D343" s="72" t="s">
        <v>2555</v>
      </c>
      <c r="E343" s="2008" t="str">
        <f t="shared" si="15"/>
        <v>GN</v>
      </c>
      <c r="F343" s="54">
        <v>50</v>
      </c>
      <c r="G343" s="54" t="s">
        <v>512</v>
      </c>
      <c r="J343" s="54" t="str">
        <f t="shared" si="14"/>
        <v>GNIU</v>
      </c>
    </row>
    <row r="344" spans="1:10" hidden="1">
      <c r="A344" s="71" t="s">
        <v>2001</v>
      </c>
      <c r="B344" s="1638"/>
      <c r="C344" s="71" t="s">
        <v>2910</v>
      </c>
      <c r="D344" s="72" t="s">
        <v>2555</v>
      </c>
      <c r="E344" s="2008" t="str">
        <f t="shared" si="15"/>
        <v>MA</v>
      </c>
      <c r="F344" s="54">
        <v>50</v>
      </c>
      <c r="G344" s="54" t="s">
        <v>512</v>
      </c>
      <c r="J344" s="54" t="str">
        <f t="shared" si="14"/>
        <v>MANG</v>
      </c>
    </row>
    <row r="345" spans="1:10" hidden="1">
      <c r="A345" s="71" t="s">
        <v>1484</v>
      </c>
      <c r="B345" s="1638"/>
      <c r="C345" s="71" t="s">
        <v>2911</v>
      </c>
      <c r="D345" s="72" t="s">
        <v>2555</v>
      </c>
      <c r="E345" s="2008" t="str">
        <f t="shared" si="15"/>
        <v>MN</v>
      </c>
      <c r="F345" s="54">
        <v>50</v>
      </c>
      <c r="G345" s="54" t="s">
        <v>512</v>
      </c>
      <c r="J345" s="54" t="str">
        <f t="shared" si="14"/>
        <v>MND</v>
      </c>
    </row>
    <row r="346" spans="1:10" hidden="1">
      <c r="A346" s="71" t="s">
        <v>1485</v>
      </c>
      <c r="B346" s="1638"/>
      <c r="C346" s="71" t="s">
        <v>2912</v>
      </c>
      <c r="D346" s="72" t="s">
        <v>2555</v>
      </c>
      <c r="E346" s="2008" t="str">
        <f t="shared" si="15"/>
        <v>MN</v>
      </c>
      <c r="F346" s="54">
        <v>50</v>
      </c>
      <c r="G346" s="54" t="s">
        <v>512</v>
      </c>
      <c r="J346" s="54" t="str">
        <f t="shared" si="14"/>
        <v>MNTG</v>
      </c>
    </row>
    <row r="347" spans="1:10" hidden="1">
      <c r="A347" s="71" t="s">
        <v>1486</v>
      </c>
      <c r="B347" s="1638"/>
      <c r="C347" s="71" t="s">
        <v>2913</v>
      </c>
      <c r="D347" s="72" t="s">
        <v>2555</v>
      </c>
      <c r="E347" s="2008" t="str">
        <f t="shared" si="15"/>
        <v>MT</v>
      </c>
      <c r="F347" s="54">
        <v>50</v>
      </c>
      <c r="G347" s="54" t="s">
        <v>512</v>
      </c>
      <c r="J347" s="54" t="str">
        <f t="shared" si="14"/>
        <v>MT</v>
      </c>
    </row>
    <row r="348" spans="1:10" hidden="1">
      <c r="A348" s="71" t="s">
        <v>1252</v>
      </c>
      <c r="B348" s="1638"/>
      <c r="C348" s="71" t="s">
        <v>2914</v>
      </c>
      <c r="D348" s="72" t="s">
        <v>2555</v>
      </c>
      <c r="E348" s="2008" t="str">
        <f t="shared" si="15"/>
        <v>MT</v>
      </c>
      <c r="F348" s="54">
        <v>50</v>
      </c>
      <c r="G348" s="54" t="s">
        <v>512</v>
      </c>
      <c r="J348" s="54" t="str">
        <f t="shared" si="14"/>
        <v>MT61A</v>
      </c>
    </row>
    <row r="349" spans="1:10" hidden="1">
      <c r="A349" s="71" t="s">
        <v>1569</v>
      </c>
      <c r="B349" s="1638"/>
      <c r="C349" s="71" t="s">
        <v>2915</v>
      </c>
      <c r="D349" s="72" t="s">
        <v>2555</v>
      </c>
      <c r="E349" s="2008" t="str">
        <f t="shared" si="15"/>
        <v>VT</v>
      </c>
      <c r="F349" s="54">
        <v>50</v>
      </c>
      <c r="G349" s="54" t="s">
        <v>512</v>
      </c>
      <c r="J349" s="54" t="str">
        <f t="shared" si="14"/>
        <v>VT</v>
      </c>
    </row>
    <row r="350" spans="1:10" hidden="1">
      <c r="A350" s="1639" t="s">
        <v>705</v>
      </c>
      <c r="B350" s="75"/>
      <c r="C350" s="71" t="s">
        <v>2916</v>
      </c>
      <c r="D350" s="72" t="s">
        <v>2555</v>
      </c>
      <c r="E350" s="2008" t="str">
        <f t="shared" si="15"/>
        <v>ON</v>
      </c>
      <c r="F350" s="54">
        <v>50</v>
      </c>
      <c r="G350" s="54" t="s">
        <v>512</v>
      </c>
      <c r="J350" s="54" t="str">
        <f t="shared" si="14"/>
        <v>ON240A</v>
      </c>
    </row>
    <row r="351" spans="1:10" hidden="1">
      <c r="A351" s="1639" t="s">
        <v>209</v>
      </c>
      <c r="B351" s="75"/>
      <c r="C351" s="71" t="s">
        <v>2917</v>
      </c>
      <c r="D351" s="72" t="s">
        <v>2555</v>
      </c>
      <c r="E351" s="2008" t="str">
        <f t="shared" si="15"/>
        <v>ON</v>
      </c>
      <c r="F351" s="54">
        <v>50</v>
      </c>
      <c r="G351" s="54" t="s">
        <v>512</v>
      </c>
      <c r="J351" s="54" t="str">
        <f t="shared" si="14"/>
        <v>ON185A</v>
      </c>
    </row>
    <row r="352" spans="1:10" hidden="1">
      <c r="A352" s="1639" t="s">
        <v>2218</v>
      </c>
      <c r="B352" s="75"/>
      <c r="C352" s="71" t="s">
        <v>2918</v>
      </c>
      <c r="D352" s="72" t="s">
        <v>2555</v>
      </c>
      <c r="E352" s="2008" t="str">
        <f t="shared" si="15"/>
        <v>ON</v>
      </c>
      <c r="F352" s="54">
        <v>50</v>
      </c>
      <c r="G352" s="54" t="s">
        <v>512</v>
      </c>
      <c r="J352" s="54" t="str">
        <f t="shared" si="14"/>
        <v>ON120A</v>
      </c>
    </row>
    <row r="353" spans="1:10" hidden="1">
      <c r="A353" s="71" t="s">
        <v>524</v>
      </c>
      <c r="B353" s="1638"/>
      <c r="C353" s="71" t="s">
        <v>2919</v>
      </c>
      <c r="D353" s="72" t="s">
        <v>2555</v>
      </c>
      <c r="E353" s="2008" t="str">
        <f t="shared" si="15"/>
        <v>ON</v>
      </c>
      <c r="F353" s="54">
        <v>50</v>
      </c>
      <c r="G353" s="54" t="s">
        <v>512</v>
      </c>
      <c r="J353" s="54" t="str">
        <f t="shared" si="14"/>
        <v>ON95A</v>
      </c>
    </row>
    <row r="354" spans="1:10" hidden="1">
      <c r="A354" s="1639" t="s">
        <v>523</v>
      </c>
      <c r="B354" s="75"/>
      <c r="C354" s="71" t="s">
        <v>2920</v>
      </c>
      <c r="D354" s="72" t="s">
        <v>2555</v>
      </c>
      <c r="E354" s="2008" t="str">
        <f t="shared" si="15"/>
        <v>ON</v>
      </c>
      <c r="F354" s="54">
        <v>50</v>
      </c>
      <c r="G354" s="54" t="s">
        <v>512</v>
      </c>
      <c r="J354" s="54" t="str">
        <f t="shared" si="14"/>
        <v>ON70A</v>
      </c>
    </row>
    <row r="355" spans="1:10" hidden="1">
      <c r="A355" s="1639" t="s">
        <v>522</v>
      </c>
      <c r="B355" s="75"/>
      <c r="C355" s="71" t="s">
        <v>2921</v>
      </c>
      <c r="D355" s="72" t="s">
        <v>2555</v>
      </c>
      <c r="E355" s="2008" t="str">
        <f t="shared" si="15"/>
        <v>ON</v>
      </c>
      <c r="F355" s="54">
        <v>50</v>
      </c>
      <c r="G355" s="54" t="s">
        <v>512</v>
      </c>
      <c r="J355" s="54" t="str">
        <f t="shared" si="14"/>
        <v>ON50A</v>
      </c>
    </row>
    <row r="356" spans="1:10" hidden="1">
      <c r="A356" s="1639" t="s">
        <v>618</v>
      </c>
      <c r="B356" s="75"/>
      <c r="C356" s="71" t="s">
        <v>2922</v>
      </c>
      <c r="D356" s="72" t="s">
        <v>2555</v>
      </c>
      <c r="E356" s="2008" t="str">
        <f t="shared" si="15"/>
        <v>ON</v>
      </c>
      <c r="F356" s="54">
        <v>50</v>
      </c>
      <c r="G356" s="54" t="s">
        <v>512</v>
      </c>
      <c r="J356" s="54" t="str">
        <f t="shared" si="14"/>
        <v>ON35A</v>
      </c>
    </row>
    <row r="357" spans="1:10" hidden="1">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54" t="str">
        <f t="shared" ref="J357:J363" si="17">A357</f>
        <v>ON-AC-240</v>
      </c>
    </row>
    <row r="358" spans="1:10" hidden="1">
      <c r="A358" s="1639" t="str">
        <f t="shared" ref="A358:A363" si="18">"ON-AC-"&amp;H358</f>
        <v>ON-AC-185</v>
      </c>
      <c r="B358" s="75"/>
      <c r="C358" s="71" t="str">
        <f t="shared" ref="C358:C363" si="19">"Ống nối dây AC-"&amp;H358</f>
        <v>Ống nối dây AC-185</v>
      </c>
      <c r="D358" s="72" t="s">
        <v>2555</v>
      </c>
      <c r="E358" s="2008" t="str">
        <f t="shared" si="16"/>
        <v>ON</v>
      </c>
      <c r="F358" s="54">
        <v>50</v>
      </c>
      <c r="G358" s="54" t="s">
        <v>512</v>
      </c>
      <c r="H358" s="54">
        <v>185</v>
      </c>
      <c r="J358" s="54" t="str">
        <f t="shared" si="17"/>
        <v>ON-AC-185</v>
      </c>
    </row>
    <row r="359" spans="1:10" hidden="1">
      <c r="A359" s="1639" t="str">
        <f t="shared" si="18"/>
        <v>ON-AC-120</v>
      </c>
      <c r="B359" s="75"/>
      <c r="C359" s="71" t="str">
        <f t="shared" si="19"/>
        <v>Ống nối dây AC-120</v>
      </c>
      <c r="D359" s="72" t="s">
        <v>2555</v>
      </c>
      <c r="E359" s="2008" t="str">
        <f t="shared" si="16"/>
        <v>ON</v>
      </c>
      <c r="F359" s="54">
        <v>50</v>
      </c>
      <c r="G359" s="54" t="s">
        <v>512</v>
      </c>
      <c r="H359" s="54">
        <v>120</v>
      </c>
      <c r="J359" s="54" t="str">
        <f t="shared" si="17"/>
        <v>ON-AC-120</v>
      </c>
    </row>
    <row r="360" spans="1:10" hidden="1">
      <c r="A360" s="1639" t="str">
        <f t="shared" si="18"/>
        <v>ON-AC-85</v>
      </c>
      <c r="B360" s="1638"/>
      <c r="C360" s="71" t="str">
        <f t="shared" si="19"/>
        <v>Ống nối dây AC-85</v>
      </c>
      <c r="D360" s="72" t="s">
        <v>2555</v>
      </c>
      <c r="E360" s="2008" t="str">
        <f t="shared" si="16"/>
        <v>ON</v>
      </c>
      <c r="F360" s="54">
        <v>50</v>
      </c>
      <c r="G360" s="54" t="s">
        <v>512</v>
      </c>
      <c r="H360" s="54">
        <v>85</v>
      </c>
      <c r="J360" s="54" t="str">
        <f t="shared" si="17"/>
        <v>ON-AC-85</v>
      </c>
    </row>
    <row r="361" spans="1:10" hidden="1">
      <c r="A361" s="1639" t="str">
        <f t="shared" si="18"/>
        <v>ON-AC-70</v>
      </c>
      <c r="B361" s="75"/>
      <c r="C361" s="71" t="str">
        <f t="shared" si="19"/>
        <v>Ống nối dây AC-70</v>
      </c>
      <c r="D361" s="72" t="s">
        <v>2555</v>
      </c>
      <c r="E361" s="2008" t="str">
        <f t="shared" si="16"/>
        <v>ON</v>
      </c>
      <c r="F361" s="54">
        <v>50</v>
      </c>
      <c r="G361" s="54" t="s">
        <v>512</v>
      </c>
      <c r="H361" s="54">
        <v>70</v>
      </c>
      <c r="J361" s="54" t="str">
        <f t="shared" si="17"/>
        <v>ON-AC-70</v>
      </c>
    </row>
    <row r="362" spans="1:10" hidden="1">
      <c r="A362" s="1639" t="str">
        <f t="shared" si="18"/>
        <v>ON-AC-50</v>
      </c>
      <c r="B362" s="75"/>
      <c r="C362" s="71" t="str">
        <f t="shared" si="19"/>
        <v>Ống nối dây AC-50</v>
      </c>
      <c r="D362" s="72" t="s">
        <v>2555</v>
      </c>
      <c r="E362" s="2008" t="str">
        <f t="shared" si="16"/>
        <v>ON</v>
      </c>
      <c r="F362" s="54">
        <v>50</v>
      </c>
      <c r="G362" s="54" t="s">
        <v>512</v>
      </c>
      <c r="H362" s="54">
        <v>50</v>
      </c>
      <c r="J362" s="54" t="str">
        <f t="shared" si="17"/>
        <v>ON-AC-50</v>
      </c>
    </row>
    <row r="363" spans="1:10" hidden="1">
      <c r="A363" s="1639" t="str">
        <f t="shared" si="18"/>
        <v>ON-AC-35</v>
      </c>
      <c r="B363" s="75"/>
      <c r="C363" s="71" t="str">
        <f t="shared" si="19"/>
        <v>Ống nối dây AC-35</v>
      </c>
      <c r="D363" s="72" t="s">
        <v>2555</v>
      </c>
      <c r="E363" s="2008" t="str">
        <f t="shared" si="16"/>
        <v>ON</v>
      </c>
      <c r="F363" s="54">
        <v>50</v>
      </c>
      <c r="G363" s="54" t="s">
        <v>512</v>
      </c>
      <c r="H363" s="54">
        <v>35</v>
      </c>
      <c r="J363" s="54" t="str">
        <f t="shared" si="17"/>
        <v>ON-AC-35</v>
      </c>
    </row>
    <row r="364" spans="1:10" hidden="1">
      <c r="A364" s="1639" t="s">
        <v>574</v>
      </c>
      <c r="B364" s="75"/>
      <c r="C364" s="71" t="s">
        <v>2923</v>
      </c>
      <c r="D364" s="72" t="s">
        <v>2555</v>
      </c>
      <c r="E364" s="2008" t="str">
        <f t="shared" si="15"/>
        <v>ON</v>
      </c>
      <c r="F364" s="54">
        <v>50</v>
      </c>
      <c r="G364" s="54" t="s">
        <v>512</v>
      </c>
      <c r="J364" s="54" t="str">
        <f t="shared" si="14"/>
        <v>ON35</v>
      </c>
    </row>
    <row r="365" spans="1:10" hidden="1">
      <c r="A365" s="1639" t="s">
        <v>1487</v>
      </c>
      <c r="B365" s="75"/>
      <c r="C365" s="71" t="s">
        <v>2924</v>
      </c>
      <c r="D365" s="72" t="s">
        <v>2555</v>
      </c>
      <c r="E365" s="2008" t="str">
        <f t="shared" si="15"/>
        <v>ON</v>
      </c>
      <c r="F365" s="54">
        <v>50</v>
      </c>
      <c r="G365" s="54" t="s">
        <v>512</v>
      </c>
      <c r="J365" s="54" t="str">
        <f t="shared" si="14"/>
        <v>ON50</v>
      </c>
    </row>
    <row r="366" spans="1:10" hidden="1">
      <c r="A366" s="1639" t="s">
        <v>1488</v>
      </c>
      <c r="B366" s="75"/>
      <c r="C366" s="71" t="s">
        <v>2925</v>
      </c>
      <c r="D366" s="72" t="s">
        <v>2555</v>
      </c>
      <c r="E366" s="2008" t="str">
        <f t="shared" si="15"/>
        <v>ON</v>
      </c>
      <c r="F366" s="54">
        <v>50</v>
      </c>
      <c r="G366" s="54" t="s">
        <v>512</v>
      </c>
      <c r="J366" s="54" t="str">
        <f t="shared" si="14"/>
        <v>ON70</v>
      </c>
    </row>
    <row r="367" spans="1:10" hidden="1">
      <c r="A367" s="71" t="s">
        <v>432</v>
      </c>
      <c r="B367" s="1638"/>
      <c r="C367" s="71" t="s">
        <v>2926</v>
      </c>
      <c r="D367" s="72" t="s">
        <v>2555</v>
      </c>
      <c r="E367" s="2008" t="str">
        <f t="shared" si="15"/>
        <v>ON</v>
      </c>
      <c r="F367" s="54">
        <v>50</v>
      </c>
      <c r="G367" s="54" t="s">
        <v>512</v>
      </c>
      <c r="J367" s="54" t="str">
        <f t="shared" si="14"/>
        <v>ON95</v>
      </c>
    </row>
    <row r="368" spans="1:10" hidden="1">
      <c r="A368" s="1639" t="s">
        <v>573</v>
      </c>
      <c r="B368" s="75"/>
      <c r="C368" s="71" t="s">
        <v>2927</v>
      </c>
      <c r="D368" s="72" t="s">
        <v>2555</v>
      </c>
      <c r="E368" s="2008" t="str">
        <f t="shared" si="15"/>
        <v>ON</v>
      </c>
      <c r="F368" s="54">
        <v>50</v>
      </c>
      <c r="G368" s="54" t="s">
        <v>512</v>
      </c>
      <c r="J368" s="54" t="str">
        <f t="shared" si="14"/>
        <v>ON120</v>
      </c>
    </row>
    <row r="369" spans="1:10" hidden="1">
      <c r="A369" s="1639" t="s">
        <v>937</v>
      </c>
      <c r="B369" s="75"/>
      <c r="C369" s="71" t="s">
        <v>2928</v>
      </c>
      <c r="D369" s="72" t="s">
        <v>2555</v>
      </c>
      <c r="E369" s="2008" t="str">
        <f t="shared" si="15"/>
        <v>ON</v>
      </c>
      <c r="F369" s="54">
        <v>50</v>
      </c>
      <c r="G369" s="54" t="s">
        <v>512</v>
      </c>
      <c r="J369" s="54" t="str">
        <f t="shared" si="14"/>
        <v>ON150</v>
      </c>
    </row>
    <row r="370" spans="1:10" hidden="1">
      <c r="A370" s="1639" t="s">
        <v>572</v>
      </c>
      <c r="B370" s="75"/>
      <c r="C370" s="71" t="s">
        <v>2929</v>
      </c>
      <c r="D370" s="72" t="s">
        <v>2555</v>
      </c>
      <c r="E370" s="2008" t="str">
        <f t="shared" si="15"/>
        <v>ON</v>
      </c>
      <c r="F370" s="54">
        <v>50</v>
      </c>
      <c r="G370" s="54" t="s">
        <v>512</v>
      </c>
      <c r="J370" s="54" t="str">
        <f t="shared" si="14"/>
        <v>ON185</v>
      </c>
    </row>
    <row r="371" spans="1:10" hidden="1">
      <c r="A371" s="1639" t="s">
        <v>571</v>
      </c>
      <c r="B371" s="75"/>
      <c r="C371" s="71" t="s">
        <v>2930</v>
      </c>
      <c r="D371" s="72" t="s">
        <v>2555</v>
      </c>
      <c r="E371" s="2008" t="str">
        <f t="shared" si="15"/>
        <v>ON</v>
      </c>
      <c r="F371" s="54">
        <v>50</v>
      </c>
      <c r="G371" s="54" t="s">
        <v>512</v>
      </c>
      <c r="J371" s="54" t="str">
        <f t="shared" si="14"/>
        <v>ON240</v>
      </c>
    </row>
    <row r="372" spans="1:10" hidden="1">
      <c r="A372" s="71" t="s">
        <v>433</v>
      </c>
      <c r="B372" s="1638"/>
      <c r="C372" s="71" t="s">
        <v>2931</v>
      </c>
      <c r="D372" s="72" t="s">
        <v>2555</v>
      </c>
      <c r="E372" s="2008" t="str">
        <f t="shared" si="15"/>
        <v>ON</v>
      </c>
      <c r="F372" s="54">
        <v>50</v>
      </c>
      <c r="G372" s="54" t="s">
        <v>512</v>
      </c>
      <c r="J372" s="54" t="str">
        <f t="shared" si="14"/>
        <v>ON50B</v>
      </c>
    </row>
    <row r="373" spans="1:10" hidden="1">
      <c r="A373" s="71" t="s">
        <v>2188</v>
      </c>
      <c r="B373" s="1638"/>
      <c r="C373" s="71" t="s">
        <v>2189</v>
      </c>
      <c r="D373" s="72" t="s">
        <v>2555</v>
      </c>
      <c r="E373" s="2008" t="str">
        <f t="shared" si="15"/>
        <v>PU</v>
      </c>
      <c r="F373" s="54">
        <v>50</v>
      </c>
      <c r="G373" s="54" t="s">
        <v>512</v>
      </c>
      <c r="J373" s="54" t="str">
        <f t="shared" si="14"/>
        <v>PU</v>
      </c>
    </row>
    <row r="374" spans="1:10" hidden="1">
      <c r="A374" s="71" t="s">
        <v>1909</v>
      </c>
      <c r="B374" s="1638"/>
      <c r="C374" s="71" t="s">
        <v>2932</v>
      </c>
      <c r="D374" s="72" t="s">
        <v>2439</v>
      </c>
      <c r="E374" s="2008" t="str">
        <f t="shared" si="15"/>
        <v>R1</v>
      </c>
      <c r="F374" s="54">
        <v>50</v>
      </c>
      <c r="G374" s="54" t="s">
        <v>512</v>
      </c>
      <c r="J374" s="54" t="str">
        <f t="shared" si="14"/>
        <v>R1</v>
      </c>
    </row>
    <row r="375" spans="1:10" hidden="1">
      <c r="A375" s="71" t="s">
        <v>2259</v>
      </c>
      <c r="B375" s="1638"/>
      <c r="C375" s="71" t="s">
        <v>2933</v>
      </c>
      <c r="D375" s="72" t="s">
        <v>2439</v>
      </c>
      <c r="E375" s="2008" t="str">
        <f t="shared" si="15"/>
        <v>R2</v>
      </c>
      <c r="F375" s="54">
        <v>50</v>
      </c>
      <c r="G375" s="54" t="s">
        <v>512</v>
      </c>
      <c r="J375" s="54" t="str">
        <f t="shared" si="14"/>
        <v>R2</v>
      </c>
    </row>
    <row r="376" spans="1:10" hidden="1">
      <c r="A376" s="71" t="s">
        <v>667</v>
      </c>
      <c r="B376" s="1638"/>
      <c r="C376" s="71" t="s">
        <v>2934</v>
      </c>
      <c r="D376" s="72" t="s">
        <v>2439</v>
      </c>
      <c r="E376" s="2008" t="str">
        <f t="shared" si="15"/>
        <v>R3</v>
      </c>
      <c r="F376" s="54">
        <v>50</v>
      </c>
      <c r="G376" s="54" t="s">
        <v>512</v>
      </c>
      <c r="J376" s="54" t="str">
        <f t="shared" si="14"/>
        <v>R3</v>
      </c>
    </row>
    <row r="377" spans="1:10" hidden="1">
      <c r="A377" s="71" t="s">
        <v>51</v>
      </c>
      <c r="B377" s="1638"/>
      <c r="C377" s="1639" t="s">
        <v>1447</v>
      </c>
      <c r="D377" s="72" t="s">
        <v>2555</v>
      </c>
      <c r="E377" s="2008" t="str">
        <f t="shared" si="15"/>
        <v>R4</v>
      </c>
      <c r="F377" s="54">
        <v>50</v>
      </c>
      <c r="G377" s="54" t="s">
        <v>512</v>
      </c>
      <c r="J377" s="54" t="str">
        <f t="shared" si="14"/>
        <v>R4</v>
      </c>
    </row>
    <row r="378" spans="1:10" hidden="1">
      <c r="A378" s="71" t="s">
        <v>1449</v>
      </c>
      <c r="B378" s="1638"/>
      <c r="C378" s="71" t="s">
        <v>2935</v>
      </c>
      <c r="D378" s="72" t="s">
        <v>2439</v>
      </c>
      <c r="E378" s="2008" t="str">
        <f t="shared" si="15"/>
        <v>R4</v>
      </c>
      <c r="F378" s="54">
        <v>50</v>
      </c>
      <c r="G378" s="54" t="s">
        <v>512</v>
      </c>
      <c r="J378" s="54" t="str">
        <f t="shared" si="14"/>
        <v>R4S</v>
      </c>
    </row>
    <row r="379" spans="1:10" hidden="1">
      <c r="A379" s="71" t="s">
        <v>696</v>
      </c>
      <c r="B379" s="1638"/>
      <c r="C379" s="71" t="s">
        <v>2936</v>
      </c>
      <c r="D379" s="72" t="s">
        <v>2555</v>
      </c>
      <c r="E379" s="2008" t="str">
        <f>LEFT(A379,2)</f>
        <v>SD</v>
      </c>
      <c r="F379" s="54">
        <v>3</v>
      </c>
      <c r="G379" s="54" t="s">
        <v>512</v>
      </c>
      <c r="J379" s="54" t="str">
        <f>A379</f>
        <v>SD</v>
      </c>
    </row>
    <row r="380" spans="1:10" hidden="1">
      <c r="A380" s="71" t="s">
        <v>4900</v>
      </c>
      <c r="B380" s="1638"/>
      <c r="C380" s="71" t="s">
        <v>4866</v>
      </c>
      <c r="D380" s="72" t="s">
        <v>2555</v>
      </c>
      <c r="E380" s="2008" t="str">
        <f>LEFT(A380,2)</f>
        <v>SD</v>
      </c>
      <c r="F380" s="54">
        <v>6</v>
      </c>
      <c r="G380" s="54" t="s">
        <v>512</v>
      </c>
      <c r="J380" s="54" t="str">
        <f>A380</f>
        <v>SDC</v>
      </c>
    </row>
    <row r="381" spans="1:10" hidden="1">
      <c r="A381" s="71" t="s">
        <v>4901</v>
      </c>
      <c r="B381" s="1638"/>
      <c r="C381" s="71" t="s">
        <v>4867</v>
      </c>
      <c r="D381" s="72" t="s">
        <v>2555</v>
      </c>
      <c r="E381" s="2008" t="str">
        <f t="shared" si="15"/>
        <v>CS</v>
      </c>
      <c r="F381" s="54">
        <v>6</v>
      </c>
      <c r="G381" s="54" t="s">
        <v>512</v>
      </c>
      <c r="J381" s="54" t="str">
        <f t="shared" si="14"/>
        <v>CSDC</v>
      </c>
    </row>
    <row r="382" spans="1:10" hidden="1">
      <c r="A382" s="71" t="s">
        <v>1001</v>
      </c>
      <c r="B382" s="1638"/>
      <c r="C382" s="71" t="s">
        <v>2937</v>
      </c>
      <c r="D382" s="72" t="s">
        <v>2439</v>
      </c>
      <c r="E382" s="2008" t="str">
        <f t="shared" si="15"/>
        <v>SD</v>
      </c>
      <c r="F382" s="54">
        <v>6</v>
      </c>
      <c r="G382" s="54" t="s">
        <v>512</v>
      </c>
      <c r="J382" s="54" t="str">
        <f t="shared" si="14"/>
        <v>SD35</v>
      </c>
    </row>
    <row r="383" spans="1:10" hidden="1">
      <c r="A383" s="71" t="s">
        <v>732</v>
      </c>
      <c r="B383" s="1638"/>
      <c r="C383" s="71" t="s">
        <v>2938</v>
      </c>
      <c r="D383" s="72" t="s">
        <v>2439</v>
      </c>
      <c r="E383" s="2008" t="str">
        <f t="shared" si="15"/>
        <v>SD</v>
      </c>
      <c r="F383" s="54">
        <v>6</v>
      </c>
      <c r="G383" s="54" t="s">
        <v>512</v>
      </c>
      <c r="J383" s="54" t="str">
        <f t="shared" si="14"/>
        <v>SDI35</v>
      </c>
    </row>
    <row r="384" spans="1:10" hidden="1">
      <c r="A384" s="71" t="s">
        <v>733</v>
      </c>
      <c r="B384" s="1638"/>
      <c r="C384" s="71" t="s">
        <v>2939</v>
      </c>
      <c r="D384" s="72" t="s">
        <v>2555</v>
      </c>
      <c r="E384" s="2008" t="str">
        <f t="shared" si="15"/>
        <v>SD</v>
      </c>
      <c r="F384" s="54">
        <v>6</v>
      </c>
      <c r="G384" s="54" t="s">
        <v>512</v>
      </c>
      <c r="J384" s="54" t="str">
        <f t="shared" si="14"/>
        <v>SDCM</v>
      </c>
    </row>
    <row r="385" spans="1:10" hidden="1">
      <c r="A385" s="71" t="s">
        <v>111</v>
      </c>
      <c r="B385" s="1638"/>
      <c r="C385" s="71" t="s">
        <v>2940</v>
      </c>
      <c r="D385" s="72" t="s">
        <v>2555</v>
      </c>
      <c r="E385" s="2008" t="str">
        <f t="shared" si="15"/>
        <v>SN</v>
      </c>
      <c r="F385" s="54">
        <v>50</v>
      </c>
      <c r="G385" s="54" t="s">
        <v>512</v>
      </c>
      <c r="J385" s="54" t="str">
        <f t="shared" si="14"/>
        <v>SN</v>
      </c>
    </row>
    <row r="386" spans="1:10" hidden="1">
      <c r="A386" s="71" t="s">
        <v>2128</v>
      </c>
      <c r="B386" s="1638"/>
      <c r="C386" s="71" t="s">
        <v>2941</v>
      </c>
      <c r="D386" s="72" t="s">
        <v>2555</v>
      </c>
      <c r="E386" s="2008" t="str">
        <f t="shared" si="15"/>
        <v>SO</v>
      </c>
      <c r="F386" s="54">
        <v>50</v>
      </c>
      <c r="G386" s="54" t="s">
        <v>512</v>
      </c>
      <c r="J386" s="54" t="str">
        <f t="shared" si="14"/>
        <v>SOC</v>
      </c>
    </row>
    <row r="387" spans="1:10" hidden="1">
      <c r="A387" s="71" t="s">
        <v>112</v>
      </c>
      <c r="B387" s="1638"/>
      <c r="C387" s="71" t="s">
        <v>2942</v>
      </c>
      <c r="D387" s="72" t="s">
        <v>2943</v>
      </c>
      <c r="E387" s="2008" t="str">
        <f t="shared" si="15"/>
        <v>ST</v>
      </c>
      <c r="F387" s="54">
        <v>50</v>
      </c>
      <c r="G387" s="54" t="s">
        <v>512</v>
      </c>
      <c r="J387" s="54" t="str">
        <f t="shared" si="14"/>
        <v>ST</v>
      </c>
    </row>
    <row r="388" spans="1:10" hidden="1">
      <c r="A388" s="71" t="s">
        <v>558</v>
      </c>
      <c r="B388" s="1638"/>
      <c r="C388" s="71" t="s">
        <v>2944</v>
      </c>
      <c r="D388" s="72" t="s">
        <v>2943</v>
      </c>
      <c r="E388" s="2008" t="str">
        <f t="shared" si="15"/>
        <v>ST</v>
      </c>
      <c r="F388" s="54">
        <v>50</v>
      </c>
      <c r="G388" s="54" t="s">
        <v>512</v>
      </c>
      <c r="J388" s="54" t="str">
        <f t="shared" si="14"/>
        <v>ST120</v>
      </c>
    </row>
    <row r="389" spans="1:10" hidden="1">
      <c r="A389" s="71" t="s">
        <v>1029</v>
      </c>
      <c r="B389" s="1638"/>
      <c r="C389" s="71" t="s">
        <v>2945</v>
      </c>
      <c r="D389" s="72" t="s">
        <v>2512</v>
      </c>
      <c r="E389" s="2008" t="str">
        <f t="shared" si="15"/>
        <v>ST</v>
      </c>
      <c r="F389" s="54">
        <v>3</v>
      </c>
      <c r="G389" s="54" t="s">
        <v>512</v>
      </c>
      <c r="J389" s="54" t="str">
        <f t="shared" si="14"/>
        <v>STply</v>
      </c>
    </row>
    <row r="390" spans="1:10" hidden="1">
      <c r="A390" s="71" t="s">
        <v>538</v>
      </c>
      <c r="B390" s="1638"/>
      <c r="C390" s="71" t="s">
        <v>2946</v>
      </c>
      <c r="D390" s="72" t="s">
        <v>2555</v>
      </c>
      <c r="E390" s="2008" t="str">
        <f t="shared" si="15"/>
        <v>St</v>
      </c>
      <c r="F390" s="54">
        <v>50</v>
      </c>
      <c r="G390" s="54" t="s">
        <v>512</v>
      </c>
      <c r="J390" s="54" t="str">
        <f t="shared" si="14"/>
        <v>Stply-HT</v>
      </c>
    </row>
    <row r="391" spans="1:10" hidden="1">
      <c r="A391" s="71" t="s">
        <v>1030</v>
      </c>
      <c r="B391" s="1638"/>
      <c r="C391" s="71" t="s">
        <v>2947</v>
      </c>
      <c r="D391" s="72" t="s">
        <v>2248</v>
      </c>
      <c r="E391" s="2008" t="str">
        <f t="shared" si="15"/>
        <v>S4</v>
      </c>
      <c r="F391" s="54">
        <v>50</v>
      </c>
      <c r="G391" s="54" t="s">
        <v>512</v>
      </c>
      <c r="J391" s="54" t="str">
        <f t="shared" si="14"/>
        <v>S40</v>
      </c>
    </row>
    <row r="392" spans="1:10" hidden="1">
      <c r="A392" s="71" t="s">
        <v>2106</v>
      </c>
      <c r="B392" s="1638"/>
      <c r="C392" s="71" t="s">
        <v>4861</v>
      </c>
      <c r="D392" s="72" t="s">
        <v>2248</v>
      </c>
      <c r="E392" s="2008" t="str">
        <f t="shared" si="15"/>
        <v>S5</v>
      </c>
      <c r="F392" s="54">
        <v>50</v>
      </c>
      <c r="G392" s="54" t="s">
        <v>512</v>
      </c>
      <c r="J392" s="54" t="str">
        <f t="shared" si="14"/>
        <v>S50</v>
      </c>
    </row>
    <row r="393" spans="1:10" hidden="1">
      <c r="A393" s="71" t="s">
        <v>279</v>
      </c>
      <c r="B393" s="1638"/>
      <c r="C393" s="71" t="s">
        <v>2948</v>
      </c>
      <c r="D393" s="72" t="s">
        <v>2248</v>
      </c>
      <c r="E393" s="2008" t="str">
        <f t="shared" si="15"/>
        <v>S6</v>
      </c>
      <c r="F393" s="54">
        <v>50</v>
      </c>
      <c r="G393" s="54" t="s">
        <v>512</v>
      </c>
      <c r="J393" s="54" t="str">
        <f t="shared" si="14"/>
        <v>S60</v>
      </c>
    </row>
    <row r="394" spans="1:10" hidden="1">
      <c r="A394" s="71" t="s">
        <v>1119</v>
      </c>
      <c r="B394" s="1638"/>
      <c r="C394" s="71" t="s">
        <v>2949</v>
      </c>
      <c r="D394" s="72" t="s">
        <v>2248</v>
      </c>
      <c r="E394" s="2008" t="str">
        <f t="shared" si="15"/>
        <v>S7</v>
      </c>
      <c r="F394" s="54">
        <v>50</v>
      </c>
      <c r="G394" s="54" t="s">
        <v>512</v>
      </c>
      <c r="J394" s="54" t="str">
        <f t="shared" si="14"/>
        <v>S70</v>
      </c>
    </row>
    <row r="395" spans="1:10" hidden="1">
      <c r="A395" s="1639" t="s">
        <v>1120</v>
      </c>
      <c r="B395" s="75"/>
      <c r="C395" s="71" t="s">
        <v>2950</v>
      </c>
      <c r="D395" s="72" t="s">
        <v>2248</v>
      </c>
      <c r="E395" s="2008" t="str">
        <f t="shared" si="15"/>
        <v>S8</v>
      </c>
      <c r="F395" s="54">
        <v>50</v>
      </c>
      <c r="G395" s="54" t="s">
        <v>512</v>
      </c>
      <c r="J395" s="54" t="str">
        <f t="shared" si="14"/>
        <v>S806</v>
      </c>
    </row>
    <row r="396" spans="1:10" hidden="1">
      <c r="A396" s="1639" t="s">
        <v>2227</v>
      </c>
      <c r="B396" s="75"/>
      <c r="C396" s="71" t="s">
        <v>2951</v>
      </c>
      <c r="D396" s="72" t="s">
        <v>2248</v>
      </c>
      <c r="E396" s="2008" t="str">
        <f t="shared" si="15"/>
        <v>S8</v>
      </c>
      <c r="F396" s="54">
        <v>50</v>
      </c>
      <c r="G396" s="54" t="s">
        <v>512</v>
      </c>
      <c r="J396" s="54" t="str">
        <f t="shared" si="14"/>
        <v>S80</v>
      </c>
    </row>
    <row r="397" spans="1:10">
      <c r="A397" s="71" t="s">
        <v>2228</v>
      </c>
      <c r="B397" s="1638"/>
      <c r="C397" s="71" t="s">
        <v>2952</v>
      </c>
      <c r="D397" s="72" t="s">
        <v>2248</v>
      </c>
      <c r="E397" s="2008" t="str">
        <f t="shared" si="15"/>
        <v>S1</v>
      </c>
      <c r="F397" s="54">
        <v>50</v>
      </c>
      <c r="G397" s="54" t="s">
        <v>512</v>
      </c>
      <c r="J397" s="54" t="str">
        <f t="shared" si="14"/>
        <v>S1008</v>
      </c>
    </row>
    <row r="398" spans="1:10" hidden="1">
      <c r="A398" s="1639" t="s">
        <v>640</v>
      </c>
      <c r="B398" s="75"/>
      <c r="C398" s="71" t="s">
        <v>2953</v>
      </c>
      <c r="D398" s="72" t="s">
        <v>2248</v>
      </c>
      <c r="E398" s="2008" t="str">
        <f t="shared" si="15"/>
        <v>SL</v>
      </c>
      <c r="F398" s="54">
        <v>50</v>
      </c>
      <c r="G398" s="54" t="s">
        <v>512</v>
      </c>
      <c r="J398" s="54" t="str">
        <f t="shared" si="14"/>
        <v>SL32</v>
      </c>
    </row>
    <row r="399" spans="1:10" hidden="1">
      <c r="A399" s="1639" t="s">
        <v>1613</v>
      </c>
      <c r="B399" s="75"/>
      <c r="C399" s="71" t="s">
        <v>2954</v>
      </c>
      <c r="D399" s="72" t="s">
        <v>2248</v>
      </c>
      <c r="E399" s="2008" t="str">
        <f t="shared" si="15"/>
        <v>SL</v>
      </c>
      <c r="F399" s="54">
        <v>50</v>
      </c>
      <c r="G399" s="54" t="s">
        <v>512</v>
      </c>
      <c r="J399" s="54" t="str">
        <f t="shared" si="14"/>
        <v>SL40</v>
      </c>
    </row>
    <row r="400" spans="1:10" hidden="1">
      <c r="A400" s="71" t="s">
        <v>1515</v>
      </c>
      <c r="B400" s="1638"/>
      <c r="C400" s="71" t="s">
        <v>2955</v>
      </c>
      <c r="D400" s="72" t="s">
        <v>2248</v>
      </c>
      <c r="E400" s="2008" t="str">
        <f t="shared" si="15"/>
        <v>SL</v>
      </c>
      <c r="F400" s="54">
        <v>50</v>
      </c>
      <c r="G400" s="54" t="s">
        <v>512</v>
      </c>
      <c r="J400" s="54" t="str">
        <f t="shared" si="14"/>
        <v>SL45</v>
      </c>
    </row>
    <row r="401" spans="1:10" hidden="1">
      <c r="A401" s="1639" t="s">
        <v>457</v>
      </c>
      <c r="B401" s="75"/>
      <c r="C401" s="71" t="s">
        <v>2956</v>
      </c>
      <c r="D401" s="72" t="s">
        <v>2248</v>
      </c>
      <c r="E401" s="2008" t="str">
        <f>LEFT(A401,2)</f>
        <v>SL</v>
      </c>
      <c r="F401" s="54">
        <v>50</v>
      </c>
      <c r="G401" s="54" t="s">
        <v>512</v>
      </c>
      <c r="J401" s="54" t="str">
        <f t="shared" si="14"/>
        <v>SL50</v>
      </c>
    </row>
    <row r="402" spans="1:10" hidden="1">
      <c r="A402" s="2006" t="str">
        <f>"SL50-"&amp;H402</f>
        <v>SL50-720</v>
      </c>
      <c r="B402" s="1638"/>
      <c r="C402" s="71" t="str">
        <f>"Sắt góc L50 x50 x5 "&amp;"x"&amp;H402</f>
        <v>Sắt góc L50 x50 x5 x720</v>
      </c>
      <c r="D402" s="72" t="s">
        <v>2555</v>
      </c>
      <c r="E402" s="2008" t="str">
        <f>LEFT(A402,2)</f>
        <v>SL</v>
      </c>
      <c r="F402" s="54">
        <v>50</v>
      </c>
      <c r="G402" s="54" t="s">
        <v>512</v>
      </c>
      <c r="H402" s="54">
        <v>720</v>
      </c>
      <c r="J402" s="54" t="str">
        <f t="shared" si="14"/>
        <v>SL50-720</v>
      </c>
    </row>
    <row r="403" spans="1:10" hidden="1">
      <c r="A403" s="2006" t="str">
        <f>"SL50-"&amp;H403</f>
        <v>SL50-810</v>
      </c>
      <c r="B403" s="1638"/>
      <c r="C403" s="71" t="s">
        <v>4858</v>
      </c>
      <c r="D403" s="72" t="s">
        <v>2555</v>
      </c>
      <c r="E403" s="2008" t="str">
        <f>LEFT(A403,2)</f>
        <v>SL</v>
      </c>
      <c r="F403" s="54">
        <v>50</v>
      </c>
      <c r="G403" s="54" t="s">
        <v>512</v>
      </c>
      <c r="H403" s="54">
        <v>810</v>
      </c>
      <c r="J403" s="54" t="str">
        <f t="shared" si="14"/>
        <v>SL50-810</v>
      </c>
    </row>
    <row r="404" spans="1:10" hidden="1">
      <c r="A404" s="2006" t="str">
        <f>"SL50-"&amp;H404</f>
        <v>SL50-920</v>
      </c>
      <c r="B404" s="1638"/>
      <c r="C404" s="71" t="str">
        <f>"Sắt góc L50 x50 x5 "&amp;"x"&amp;H404</f>
        <v>Sắt góc L50 x50 x5 x920</v>
      </c>
      <c r="D404" s="72" t="s">
        <v>2555</v>
      </c>
      <c r="E404" s="2008" t="str">
        <f>LEFT(A404,2)</f>
        <v>SL</v>
      </c>
      <c r="F404" s="54">
        <v>50</v>
      </c>
      <c r="G404" s="54" t="s">
        <v>512</v>
      </c>
      <c r="H404" s="54">
        <v>920</v>
      </c>
      <c r="J404" s="54" t="str">
        <f t="shared" ref="J404:J469" si="20">A404</f>
        <v>SL50-920</v>
      </c>
    </row>
    <row r="405" spans="1:10" hidden="1">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54" t="str">
        <f t="shared" si="20"/>
        <v>SL50-1190</v>
      </c>
    </row>
    <row r="406" spans="1:10" hidden="1">
      <c r="A406" s="1639" t="s">
        <v>4712</v>
      </c>
      <c r="B406" s="75"/>
      <c r="C406" s="71" t="s">
        <v>2956</v>
      </c>
      <c r="D406" s="72" t="s">
        <v>2248</v>
      </c>
      <c r="E406" s="2008" t="str">
        <f t="shared" si="15"/>
        <v>SL</v>
      </c>
      <c r="F406" s="54">
        <v>50</v>
      </c>
      <c r="G406" s="54" t="s">
        <v>512</v>
      </c>
      <c r="J406" s="54" t="str">
        <f t="shared" si="20"/>
        <v>SL50kg</v>
      </c>
    </row>
    <row r="407" spans="1:10" hidden="1">
      <c r="A407" s="71" t="s">
        <v>1118</v>
      </c>
      <c r="B407" s="1638"/>
      <c r="C407" s="71" t="s">
        <v>2957</v>
      </c>
      <c r="D407" s="72" t="s">
        <v>2248</v>
      </c>
      <c r="E407" s="2008" t="str">
        <f t="shared" si="15"/>
        <v>SL</v>
      </c>
      <c r="F407" s="54">
        <v>50</v>
      </c>
      <c r="G407" s="54" t="s">
        <v>512</v>
      </c>
      <c r="J407" s="54" t="str">
        <f t="shared" si="20"/>
        <v>SL70</v>
      </c>
    </row>
    <row r="408" spans="1:10" hidden="1">
      <c r="A408" s="71" t="s">
        <v>4711</v>
      </c>
      <c r="B408" s="1638"/>
      <c r="C408" s="71" t="s">
        <v>2437</v>
      </c>
      <c r="D408" s="72" t="s">
        <v>2248</v>
      </c>
      <c r="E408" s="2008" t="str">
        <f t="shared" ref="E408:E415" si="21">LEFT(A408,2)</f>
        <v>SL</v>
      </c>
      <c r="F408" s="54">
        <v>50</v>
      </c>
      <c r="G408" s="54" t="s">
        <v>512</v>
      </c>
      <c r="J408" s="54" t="str">
        <f t="shared" si="20"/>
        <v>SL75kg</v>
      </c>
    </row>
    <row r="409" spans="1:10" hidden="1">
      <c r="A409" s="71" t="s">
        <v>109</v>
      </c>
      <c r="B409" s="1638"/>
      <c r="C409" s="71" t="s">
        <v>2437</v>
      </c>
      <c r="D409" s="72" t="s">
        <v>2248</v>
      </c>
      <c r="E409" s="2008" t="str">
        <f t="shared" si="21"/>
        <v>SL</v>
      </c>
      <c r="F409" s="54">
        <v>50</v>
      </c>
      <c r="G409" s="54" t="s">
        <v>512</v>
      </c>
      <c r="J409" s="54" t="str">
        <f t="shared" si="20"/>
        <v>SL75</v>
      </c>
    </row>
    <row r="410" spans="1:10" hidden="1">
      <c r="A410" s="2006" t="str">
        <f t="shared" ref="A410:A416" si="22">"SL75-"&amp;H410</f>
        <v>SL75-1660</v>
      </c>
      <c r="B410" s="1638"/>
      <c r="C410" s="71" t="str">
        <f>"Sắt góc L75 x75 x8 "&amp;"x"&amp;H410</f>
        <v>Sắt góc L75 x75 x8 x1660</v>
      </c>
      <c r="D410" s="72" t="s">
        <v>2555</v>
      </c>
      <c r="E410" s="2008" t="str">
        <f t="shared" si="21"/>
        <v>SL</v>
      </c>
      <c r="F410" s="54">
        <v>50</v>
      </c>
      <c r="G410" s="54" t="s">
        <v>512</v>
      </c>
      <c r="H410" s="54">
        <v>1660</v>
      </c>
      <c r="J410" s="54" t="str">
        <f t="shared" si="20"/>
        <v>SL75-1660</v>
      </c>
    </row>
    <row r="411" spans="1:10" hidden="1">
      <c r="A411" s="2006" t="str">
        <f t="shared" si="22"/>
        <v>SL75-2000</v>
      </c>
      <c r="B411" s="1638"/>
      <c r="C411" s="71" t="s">
        <v>4857</v>
      </c>
      <c r="D411" s="72" t="s">
        <v>2555</v>
      </c>
      <c r="E411" s="2008" t="str">
        <f t="shared" si="21"/>
        <v>SL</v>
      </c>
      <c r="F411" s="54">
        <v>50</v>
      </c>
      <c r="G411" s="54" t="s">
        <v>512</v>
      </c>
      <c r="H411" s="54">
        <v>2000</v>
      </c>
      <c r="J411" s="54" t="str">
        <f t="shared" si="20"/>
        <v>SL75-2000</v>
      </c>
    </row>
    <row r="412" spans="1:10" hidden="1">
      <c r="A412" s="2006" t="str">
        <f t="shared" si="22"/>
        <v>SL75-1990</v>
      </c>
      <c r="B412" s="1638"/>
      <c r="C412" s="71" t="s">
        <v>4860</v>
      </c>
      <c r="D412" s="72" t="s">
        <v>2555</v>
      </c>
      <c r="E412" s="2008" t="str">
        <f>LEFT(A412,2)</f>
        <v>SL</v>
      </c>
      <c r="F412" s="54">
        <v>50</v>
      </c>
      <c r="G412" s="54" t="s">
        <v>512</v>
      </c>
      <c r="H412" s="54">
        <v>1990</v>
      </c>
      <c r="J412" s="54" t="str">
        <f>A412</f>
        <v>SL75-1990</v>
      </c>
    </row>
    <row r="413" spans="1:10">
      <c r="A413" s="2006" t="str">
        <f t="shared" si="22"/>
        <v>SL75-2100</v>
      </c>
      <c r="B413" s="1638"/>
      <c r="C413" s="71" t="s">
        <v>4859</v>
      </c>
      <c r="D413" s="72" t="s">
        <v>2555</v>
      </c>
      <c r="E413" s="2008" t="str">
        <f t="shared" si="21"/>
        <v>SL</v>
      </c>
      <c r="F413" s="54">
        <v>50</v>
      </c>
      <c r="G413" s="54" t="s">
        <v>512</v>
      </c>
      <c r="H413" s="54">
        <v>2100</v>
      </c>
      <c r="J413" s="54" t="str">
        <f t="shared" si="20"/>
        <v>SL75-2100</v>
      </c>
    </row>
    <row r="414" spans="1:10" hidden="1">
      <c r="A414" s="2006" t="str">
        <f t="shared" si="22"/>
        <v>SL75-2200</v>
      </c>
      <c r="B414" s="1638"/>
      <c r="C414" s="71" t="str">
        <f>"Sắt góc L75 x75 x8 "&amp;"x"&amp;H414</f>
        <v>Sắt góc L75 x75 x8 x2200</v>
      </c>
      <c r="D414" s="72" t="s">
        <v>2555</v>
      </c>
      <c r="E414" s="2008" t="str">
        <f t="shared" si="21"/>
        <v>SL</v>
      </c>
      <c r="F414" s="54">
        <v>50</v>
      </c>
      <c r="G414" s="54" t="s">
        <v>512</v>
      </c>
      <c r="H414" s="54">
        <v>2200</v>
      </c>
      <c r="J414" s="54" t="str">
        <f t="shared" si="20"/>
        <v>SL75-2200</v>
      </c>
    </row>
    <row r="415" spans="1:10" hidden="1">
      <c r="A415" s="2006" t="str">
        <f t="shared" ref="A415" si="23">"SL75-"&amp;H415</f>
        <v>SL75-2400</v>
      </c>
      <c r="B415" s="1638"/>
      <c r="C415" s="71" t="str">
        <f>"Sắt góc L75 x75 x8 "&amp;"x"&amp;H415</f>
        <v>Sắt góc L75 x75 x8 x2400</v>
      </c>
      <c r="D415" s="72" t="s">
        <v>2555</v>
      </c>
      <c r="E415" s="2008" t="str">
        <f t="shared" si="21"/>
        <v>SL</v>
      </c>
      <c r="F415" s="54">
        <v>50</v>
      </c>
      <c r="G415" s="54" t="s">
        <v>512</v>
      </c>
      <c r="H415" s="54">
        <v>2400</v>
      </c>
      <c r="J415" s="54" t="str">
        <f t="shared" ref="J415" si="24">A415</f>
        <v>SL75-2400</v>
      </c>
    </row>
    <row r="416" spans="1:10" hidden="1">
      <c r="A416" s="2006" t="str">
        <f t="shared" si="22"/>
        <v>SL75-2600</v>
      </c>
      <c r="B416" s="1638"/>
      <c r="C416" s="71" t="str">
        <f>"Sắt góc L75 x75 x8 "&amp;"x"&amp;H416</f>
        <v>Sắt góc L75 x75 x8 x2600</v>
      </c>
      <c r="D416" s="72" t="s">
        <v>2555</v>
      </c>
      <c r="E416" s="2008" t="str">
        <f t="shared" si="15"/>
        <v>SL</v>
      </c>
      <c r="F416" s="54">
        <v>50</v>
      </c>
      <c r="G416" s="54" t="s">
        <v>512</v>
      </c>
      <c r="H416" s="54">
        <v>2600</v>
      </c>
      <c r="J416" s="54" t="str">
        <f t="shared" si="20"/>
        <v>SL75-2600</v>
      </c>
    </row>
    <row r="417" spans="1:10" hidden="1">
      <c r="A417" s="71" t="s">
        <v>1973</v>
      </c>
      <c r="B417" s="1638"/>
      <c r="C417" s="71" t="s">
        <v>4799</v>
      </c>
      <c r="D417" s="72" t="s">
        <v>2248</v>
      </c>
      <c r="E417" s="2008" t="str">
        <f t="shared" si="15"/>
        <v>SO</v>
      </c>
      <c r="F417" s="54">
        <v>50</v>
      </c>
      <c r="G417" s="54" t="s">
        <v>512</v>
      </c>
      <c r="J417" s="54" t="str">
        <f t="shared" si="20"/>
        <v>SO6</v>
      </c>
    </row>
    <row r="418" spans="1:10" hidden="1">
      <c r="A418" s="71" t="s">
        <v>1424</v>
      </c>
      <c r="B418" s="1638"/>
      <c r="C418" s="71" t="s">
        <v>4800</v>
      </c>
      <c r="D418" s="72" t="s">
        <v>2248</v>
      </c>
      <c r="E418" s="2008" t="str">
        <f t="shared" si="15"/>
        <v>SO</v>
      </c>
      <c r="F418" s="54">
        <v>50</v>
      </c>
      <c r="G418" s="54" t="s">
        <v>512</v>
      </c>
      <c r="J418" s="54" t="str">
        <f t="shared" si="20"/>
        <v>SO8</v>
      </c>
    </row>
    <row r="419" spans="1:10" hidden="1">
      <c r="A419" s="71" t="s">
        <v>2008</v>
      </c>
      <c r="B419" s="1638"/>
      <c r="C419" s="71" t="s">
        <v>4801</v>
      </c>
      <c r="D419" s="72" t="s">
        <v>2248</v>
      </c>
      <c r="E419" s="2008" t="str">
        <f t="shared" si="15"/>
        <v>SO</v>
      </c>
      <c r="F419" s="54">
        <v>50</v>
      </c>
      <c r="G419" s="54" t="s">
        <v>512</v>
      </c>
      <c r="J419" s="54" t="str">
        <f t="shared" si="20"/>
        <v>SO10</v>
      </c>
    </row>
    <row r="420" spans="1:10" hidden="1">
      <c r="A420" s="71" t="s">
        <v>1516</v>
      </c>
      <c r="B420" s="1638"/>
      <c r="C420" s="71" t="s">
        <v>4802</v>
      </c>
      <c r="D420" s="72" t="s">
        <v>2248</v>
      </c>
      <c r="E420" s="2008" t="str">
        <f t="shared" si="15"/>
        <v>SO</v>
      </c>
      <c r="F420" s="54">
        <v>50</v>
      </c>
      <c r="G420" s="54" t="s">
        <v>512</v>
      </c>
      <c r="J420" s="54" t="str">
        <f t="shared" si="20"/>
        <v>SO12</v>
      </c>
    </row>
    <row r="421" spans="1:10" hidden="1">
      <c r="A421" s="71" t="s">
        <v>1435</v>
      </c>
      <c r="B421" s="1638"/>
      <c r="C421" s="71" t="s">
        <v>4803</v>
      </c>
      <c r="D421" s="72" t="s">
        <v>2248</v>
      </c>
      <c r="E421" s="2008" t="str">
        <f t="shared" si="15"/>
        <v>SO</v>
      </c>
      <c r="F421" s="54">
        <v>50</v>
      </c>
      <c r="G421" s="54" t="s">
        <v>512</v>
      </c>
      <c r="J421" s="54" t="str">
        <f t="shared" si="20"/>
        <v>SO16</v>
      </c>
    </row>
    <row r="422" spans="1:10" hidden="1">
      <c r="A422" s="71" t="s">
        <v>1974</v>
      </c>
      <c r="B422" s="1638"/>
      <c r="C422" s="71" t="s">
        <v>4804</v>
      </c>
      <c r="D422" s="72" t="s">
        <v>2248</v>
      </c>
      <c r="E422" s="2008" t="str">
        <f t="shared" si="15"/>
        <v>SO</v>
      </c>
      <c r="F422" s="54">
        <v>50</v>
      </c>
      <c r="G422" s="54" t="s">
        <v>512</v>
      </c>
      <c r="J422" s="54" t="str">
        <f t="shared" si="20"/>
        <v>SO24</v>
      </c>
    </row>
    <row r="423" spans="1:10" hidden="1">
      <c r="A423" s="71" t="s">
        <v>2225</v>
      </c>
      <c r="B423" s="1638"/>
      <c r="C423" s="71" t="s">
        <v>2958</v>
      </c>
      <c r="D423" s="72" t="s">
        <v>2248</v>
      </c>
      <c r="E423" s="2008" t="str">
        <f t="shared" si="15"/>
        <v>EK</v>
      </c>
      <c r="F423" s="54">
        <v>50</v>
      </c>
      <c r="G423" s="54" t="s">
        <v>512</v>
      </c>
      <c r="J423" s="54" t="str">
        <f t="shared" si="20"/>
        <v>EKE300</v>
      </c>
    </row>
    <row r="424" spans="1:10" hidden="1">
      <c r="A424" s="71" t="s">
        <v>52</v>
      </c>
      <c r="B424" s="1638"/>
      <c r="C424" s="1646" t="s">
        <v>2959</v>
      </c>
      <c r="D424" s="72" t="s">
        <v>2248</v>
      </c>
      <c r="E424" s="2008" t="str">
        <f t="shared" ref="E424:E492" si="25">LEFT(A424,2)</f>
        <v>th</v>
      </c>
      <c r="F424" s="54">
        <v>50</v>
      </c>
      <c r="G424" s="54" t="s">
        <v>512</v>
      </c>
      <c r="J424" s="54" t="str">
        <f t="shared" si="20"/>
        <v>thept6</v>
      </c>
    </row>
    <row r="425" spans="1:10" hidden="1">
      <c r="A425" s="71" t="s">
        <v>700</v>
      </c>
      <c r="B425" s="1638"/>
      <c r="C425" s="1646" t="s">
        <v>2960</v>
      </c>
      <c r="D425" s="72" t="s">
        <v>2248</v>
      </c>
      <c r="E425" s="2008" t="str">
        <f t="shared" si="25"/>
        <v>th</v>
      </c>
      <c r="F425" s="54">
        <v>50</v>
      </c>
      <c r="G425" s="54" t="s">
        <v>512</v>
      </c>
      <c r="J425" s="54" t="str">
        <f t="shared" si="20"/>
        <v>thept5</v>
      </c>
    </row>
    <row r="426" spans="1:10" hidden="1">
      <c r="A426" s="71" t="s">
        <v>341</v>
      </c>
      <c r="B426" s="1638"/>
      <c r="C426" s="1646" t="s">
        <v>2961</v>
      </c>
      <c r="D426" s="72" t="s">
        <v>2248</v>
      </c>
      <c r="E426" s="2008" t="str">
        <f t="shared" si="25"/>
        <v>th</v>
      </c>
      <c r="F426" s="54">
        <v>50</v>
      </c>
      <c r="G426" s="54" t="s">
        <v>512</v>
      </c>
      <c r="J426" s="54" t="str">
        <f t="shared" si="20"/>
        <v>thept4</v>
      </c>
    </row>
    <row r="427" spans="1:10" hidden="1">
      <c r="A427" s="71" t="s">
        <v>881</v>
      </c>
      <c r="B427" s="1638"/>
      <c r="C427" s="1646" t="s">
        <v>2962</v>
      </c>
      <c r="D427" s="72" t="s">
        <v>2248</v>
      </c>
      <c r="E427" s="2008" t="str">
        <f t="shared" si="25"/>
        <v>th</v>
      </c>
      <c r="F427" s="54">
        <v>50</v>
      </c>
      <c r="G427" s="54" t="s">
        <v>512</v>
      </c>
      <c r="J427" s="54" t="str">
        <f t="shared" si="20"/>
        <v>thept2</v>
      </c>
    </row>
    <row r="428" spans="1:10" hidden="1">
      <c r="A428" s="71" t="s">
        <v>607</v>
      </c>
      <c r="B428" s="1638"/>
      <c r="C428" s="71" t="s">
        <v>4355</v>
      </c>
      <c r="D428" s="72" t="s">
        <v>2439</v>
      </c>
      <c r="E428" s="2008" t="str">
        <f t="shared" si="25"/>
        <v>CL</v>
      </c>
      <c r="F428" s="54">
        <v>50</v>
      </c>
      <c r="G428" s="54" t="s">
        <v>512</v>
      </c>
      <c r="J428" s="54" t="str">
        <f t="shared" si="20"/>
        <v>CL</v>
      </c>
    </row>
    <row r="429" spans="1:10" hidden="1">
      <c r="A429" s="71" t="s">
        <v>188</v>
      </c>
      <c r="B429" s="1638"/>
      <c r="C429" s="71" t="s">
        <v>4356</v>
      </c>
      <c r="D429" s="72" t="s">
        <v>2439</v>
      </c>
      <c r="E429" s="2008" t="str">
        <f t="shared" si="25"/>
        <v>CL</v>
      </c>
      <c r="F429" s="54">
        <v>50</v>
      </c>
      <c r="G429" s="54" t="s">
        <v>512</v>
      </c>
      <c r="J429" s="54" t="str">
        <f t="shared" si="20"/>
        <v>CLHT</v>
      </c>
    </row>
    <row r="430" spans="1:10" hidden="1">
      <c r="A430" s="1639" t="s">
        <v>2047</v>
      </c>
      <c r="B430" s="75"/>
      <c r="C430" s="1639" t="s">
        <v>4357</v>
      </c>
      <c r="D430" s="72" t="s">
        <v>2555</v>
      </c>
      <c r="E430" s="2008" t="str">
        <f t="shared" si="25"/>
        <v>TN</v>
      </c>
      <c r="F430" s="54">
        <v>50</v>
      </c>
      <c r="G430" s="54" t="s">
        <v>512</v>
      </c>
      <c r="J430" s="54" t="str">
        <f t="shared" si="20"/>
        <v>TN1618</v>
      </c>
    </row>
    <row r="431" spans="1:10" hidden="1">
      <c r="A431" s="1639" t="s">
        <v>746</v>
      </c>
      <c r="B431" s="75"/>
      <c r="C431" s="1639" t="s">
        <v>4358</v>
      </c>
      <c r="D431" s="72" t="s">
        <v>2555</v>
      </c>
      <c r="E431" s="2008" t="str">
        <f t="shared" si="25"/>
        <v>TN</v>
      </c>
      <c r="F431" s="54">
        <v>50</v>
      </c>
      <c r="G431" s="54" t="s">
        <v>512</v>
      </c>
      <c r="J431" s="54" t="str">
        <f t="shared" si="20"/>
        <v>TN1624</v>
      </c>
    </row>
    <row r="432" spans="1:10" hidden="1">
      <c r="A432" s="1639" t="s">
        <v>2163</v>
      </c>
      <c r="B432" s="75"/>
      <c r="C432" s="1639" t="s">
        <v>4359</v>
      </c>
      <c r="D432" s="72" t="s">
        <v>2555</v>
      </c>
      <c r="E432" s="2008" t="str">
        <f t="shared" si="25"/>
        <v>TN</v>
      </c>
      <c r="F432" s="54">
        <v>50</v>
      </c>
      <c r="G432" s="54" t="s">
        <v>512</v>
      </c>
      <c r="J432" s="54" t="str">
        <f t="shared" si="20"/>
        <v>TN1824</v>
      </c>
    </row>
    <row r="433" spans="1:10" hidden="1">
      <c r="A433" s="1639" t="s">
        <v>536</v>
      </c>
      <c r="B433" s="75"/>
      <c r="C433" s="1639" t="s">
        <v>4360</v>
      </c>
      <c r="D433" s="72" t="s">
        <v>2555</v>
      </c>
      <c r="E433" s="2008" t="str">
        <f t="shared" si="25"/>
        <v>TN</v>
      </c>
      <c r="F433" s="54">
        <v>50</v>
      </c>
      <c r="G433" s="54" t="s">
        <v>512</v>
      </c>
      <c r="J433" s="54" t="str">
        <f t="shared" si="20"/>
        <v>TN2224</v>
      </c>
    </row>
    <row r="434" spans="1:10" hidden="1">
      <c r="A434" s="1639" t="s">
        <v>1999</v>
      </c>
      <c r="B434" s="75"/>
      <c r="C434" s="1639" t="s">
        <v>4361</v>
      </c>
      <c r="D434" s="72" t="s">
        <v>2555</v>
      </c>
      <c r="E434" s="2008" t="str">
        <f t="shared" si="25"/>
        <v>TN</v>
      </c>
      <c r="F434" s="54">
        <v>50</v>
      </c>
      <c r="G434" s="54" t="s">
        <v>512</v>
      </c>
      <c r="J434" s="54" t="str">
        <f t="shared" si="20"/>
        <v>TN30</v>
      </c>
    </row>
    <row r="435" spans="1:10" hidden="1">
      <c r="A435" s="1639" t="s">
        <v>113</v>
      </c>
      <c r="B435" s="75"/>
      <c r="C435" s="1639" t="s">
        <v>4362</v>
      </c>
      <c r="D435" s="72" t="s">
        <v>2555</v>
      </c>
      <c r="E435" s="2008" t="str">
        <f t="shared" si="25"/>
        <v>TN</v>
      </c>
      <c r="F435" s="54">
        <v>50</v>
      </c>
      <c r="G435" s="54" t="s">
        <v>512</v>
      </c>
      <c r="J435" s="54" t="str">
        <f t="shared" si="20"/>
        <v>TN37</v>
      </c>
    </row>
    <row r="436" spans="1:10" hidden="1">
      <c r="A436" s="71" t="s">
        <v>1289</v>
      </c>
      <c r="B436" s="75" t="s">
        <v>1746</v>
      </c>
      <c r="C436" s="71" t="s">
        <v>2963</v>
      </c>
      <c r="D436" s="72" t="s">
        <v>2555</v>
      </c>
      <c r="E436" s="2008" t="str">
        <f t="shared" si="25"/>
        <v>NX</v>
      </c>
      <c r="F436" s="54">
        <v>50</v>
      </c>
      <c r="G436" s="54" t="s">
        <v>512</v>
      </c>
      <c r="J436" s="54" t="str">
        <f t="shared" si="20"/>
        <v>NX</v>
      </c>
    </row>
    <row r="437" spans="1:10" hidden="1">
      <c r="A437" s="71" t="s">
        <v>1290</v>
      </c>
      <c r="B437" s="1638" t="s">
        <v>1754</v>
      </c>
      <c r="C437" s="71" t="s">
        <v>2964</v>
      </c>
      <c r="D437" s="72" t="s">
        <v>2439</v>
      </c>
      <c r="E437" s="2008" t="str">
        <f t="shared" si="25"/>
        <v>CD</v>
      </c>
      <c r="F437" s="54">
        <v>50</v>
      </c>
      <c r="G437" s="54" t="s">
        <v>512</v>
      </c>
      <c r="J437" s="54" t="str">
        <f t="shared" si="20"/>
        <v>CD142</v>
      </c>
    </row>
    <row r="438" spans="1:10" hidden="1">
      <c r="A438" s="71" t="s">
        <v>222</v>
      </c>
      <c r="B438" s="1638" t="s">
        <v>1754</v>
      </c>
      <c r="C438" s="71" t="s">
        <v>2965</v>
      </c>
      <c r="D438" s="72" t="s">
        <v>2439</v>
      </c>
      <c r="E438" s="2008" t="str">
        <f t="shared" si="25"/>
        <v>CD</v>
      </c>
      <c r="F438" s="54">
        <v>50</v>
      </c>
      <c r="G438" s="54" t="s">
        <v>512</v>
      </c>
      <c r="J438" s="54" t="str">
        <f t="shared" si="20"/>
        <v>CD142a</v>
      </c>
    </row>
    <row r="439" spans="1:10" hidden="1">
      <c r="A439" s="71" t="s">
        <v>1838</v>
      </c>
      <c r="B439" s="1638" t="s">
        <v>1754</v>
      </c>
      <c r="C439" s="71" t="s">
        <v>2966</v>
      </c>
      <c r="D439" s="72" t="s">
        <v>2439</v>
      </c>
      <c r="E439" s="2008" t="str">
        <f t="shared" si="25"/>
        <v>CD</v>
      </c>
      <c r="F439" s="54">
        <v>50</v>
      </c>
      <c r="G439" s="54" t="s">
        <v>512</v>
      </c>
      <c r="J439" s="54" t="str">
        <f t="shared" si="20"/>
        <v>CD146</v>
      </c>
    </row>
    <row r="440" spans="1:10" hidden="1">
      <c r="A440" s="71" t="s">
        <v>1850</v>
      </c>
      <c r="B440" s="1638" t="s">
        <v>1754</v>
      </c>
      <c r="C440" s="71" t="s">
        <v>2967</v>
      </c>
      <c r="D440" s="72" t="s">
        <v>2439</v>
      </c>
      <c r="E440" s="2008" t="str">
        <f t="shared" si="25"/>
        <v>CD</v>
      </c>
      <c r="F440" s="54">
        <v>50</v>
      </c>
      <c r="G440" s="54" t="s">
        <v>512</v>
      </c>
      <c r="J440" s="54" t="str">
        <f t="shared" si="20"/>
        <v>CD146a</v>
      </c>
    </row>
    <row r="441" spans="1:10" hidden="1">
      <c r="A441" s="71" t="s">
        <v>844</v>
      </c>
      <c r="B441" s="1638" t="s">
        <v>1754</v>
      </c>
      <c r="C441" s="71" t="s">
        <v>2968</v>
      </c>
      <c r="D441" s="72" t="s">
        <v>2439</v>
      </c>
      <c r="E441" s="2008" t="str">
        <f t="shared" si="25"/>
        <v>CD</v>
      </c>
      <c r="F441" s="54">
        <v>50</v>
      </c>
      <c r="G441" s="54" t="s">
        <v>512</v>
      </c>
      <c r="J441" s="54" t="str">
        <f t="shared" si="20"/>
        <v>CD682</v>
      </c>
    </row>
    <row r="442" spans="1:10" hidden="1">
      <c r="A442" s="71" t="s">
        <v>1130</v>
      </c>
      <c r="B442" s="1638" t="s">
        <v>682</v>
      </c>
      <c r="C442" s="71" t="s">
        <v>5466</v>
      </c>
      <c r="D442" s="72" t="s">
        <v>2439</v>
      </c>
      <c r="E442" s="2008" t="str">
        <f t="shared" si="25"/>
        <v>LC</v>
      </c>
      <c r="F442" s="54">
        <v>2000</v>
      </c>
      <c r="G442" s="54" t="s">
        <v>512</v>
      </c>
      <c r="J442" s="54" t="str">
        <f t="shared" si="20"/>
        <v>LCD</v>
      </c>
    </row>
    <row r="443" spans="1:10" hidden="1">
      <c r="A443" s="71" t="s">
        <v>1592</v>
      </c>
      <c r="B443" s="1638" t="s">
        <v>1754</v>
      </c>
      <c r="C443" s="71" t="s">
        <v>4353</v>
      </c>
      <c r="D443" s="72" t="s">
        <v>2439</v>
      </c>
      <c r="E443" s="2008" t="str">
        <f t="shared" si="25"/>
        <v>CD</v>
      </c>
      <c r="F443" s="54">
        <v>50</v>
      </c>
      <c r="G443" s="54" t="s">
        <v>512</v>
      </c>
      <c r="J443" s="54" t="str">
        <f t="shared" si="20"/>
        <v>CD21</v>
      </c>
    </row>
    <row r="444" spans="1:10" hidden="1">
      <c r="A444" s="71" t="s">
        <v>374</v>
      </c>
      <c r="B444" s="1638" t="s">
        <v>1754</v>
      </c>
      <c r="C444" s="71" t="s">
        <v>4363</v>
      </c>
      <c r="D444" s="72" t="s">
        <v>2439</v>
      </c>
      <c r="E444" s="2008" t="str">
        <f t="shared" si="25"/>
        <v>CD</v>
      </c>
      <c r="F444" s="54">
        <v>50</v>
      </c>
      <c r="G444" s="54" t="s">
        <v>512</v>
      </c>
      <c r="J444" s="54" t="str">
        <f t="shared" si="20"/>
        <v>CD21S10</v>
      </c>
    </row>
    <row r="445" spans="1:10" hidden="1">
      <c r="A445" s="71" t="s">
        <v>1991</v>
      </c>
      <c r="B445" s="1638" t="s">
        <v>1754</v>
      </c>
      <c r="C445" s="71" t="s">
        <v>4364</v>
      </c>
      <c r="D445" s="72" t="s">
        <v>2439</v>
      </c>
      <c r="E445" s="2008" t="str">
        <f t="shared" si="25"/>
        <v>CD</v>
      </c>
      <c r="F445" s="54">
        <v>50</v>
      </c>
      <c r="G445" s="54" t="s">
        <v>512</v>
      </c>
      <c r="J445" s="54" t="str">
        <f t="shared" si="20"/>
        <v>CD60</v>
      </c>
    </row>
    <row r="446" spans="1:10" hidden="1">
      <c r="A446" s="71" t="s">
        <v>1990</v>
      </c>
      <c r="B446" s="1638" t="s">
        <v>1754</v>
      </c>
      <c r="C446" s="71" t="s">
        <v>4365</v>
      </c>
      <c r="D446" s="72" t="s">
        <v>2439</v>
      </c>
      <c r="E446" s="2008" t="str">
        <f t="shared" si="25"/>
        <v>CD</v>
      </c>
      <c r="F446" s="54">
        <v>50</v>
      </c>
      <c r="G446" s="54" t="s">
        <v>512</v>
      </c>
      <c r="J446" s="54" t="str">
        <f t="shared" si="20"/>
        <v>CD90</v>
      </c>
    </row>
    <row r="447" spans="1:10" hidden="1">
      <c r="A447" s="71" t="s">
        <v>731</v>
      </c>
      <c r="B447" s="1638" t="s">
        <v>1754</v>
      </c>
      <c r="C447" s="71" t="s">
        <v>4366</v>
      </c>
      <c r="D447" s="72" t="s">
        <v>2439</v>
      </c>
      <c r="E447" s="2008" t="str">
        <f t="shared" si="25"/>
        <v>CD</v>
      </c>
      <c r="F447" s="54">
        <v>50</v>
      </c>
      <c r="G447" s="54" t="s">
        <v>512</v>
      </c>
      <c r="J447" s="54" t="str">
        <f t="shared" si="20"/>
        <v>CD114</v>
      </c>
    </row>
    <row r="448" spans="1:10" hidden="1">
      <c r="A448" s="71" t="s">
        <v>1536</v>
      </c>
      <c r="B448" s="1638" t="s">
        <v>1754</v>
      </c>
      <c r="C448" s="71" t="s">
        <v>4367</v>
      </c>
      <c r="D448" s="72" t="s">
        <v>2439</v>
      </c>
      <c r="E448" s="2008" t="str">
        <f t="shared" si="25"/>
        <v>CD</v>
      </c>
      <c r="F448" s="54">
        <v>50</v>
      </c>
      <c r="G448" s="54" t="s">
        <v>512</v>
      </c>
      <c r="J448" s="54" t="str">
        <f t="shared" si="20"/>
        <v>CD140</v>
      </c>
    </row>
    <row r="449" spans="1:10" hidden="1">
      <c r="A449" s="71" t="s">
        <v>945</v>
      </c>
      <c r="B449" s="1638" t="s">
        <v>1754</v>
      </c>
      <c r="C449" s="71" t="s">
        <v>4368</v>
      </c>
      <c r="D449" s="72" t="s">
        <v>2439</v>
      </c>
      <c r="E449" s="2008" t="str">
        <f t="shared" si="25"/>
        <v>CD</v>
      </c>
      <c r="F449" s="54">
        <v>50</v>
      </c>
      <c r="G449" s="54" t="s">
        <v>512</v>
      </c>
      <c r="J449" s="54" t="str">
        <f t="shared" si="20"/>
        <v>CD140TK</v>
      </c>
    </row>
    <row r="450" spans="1:10" hidden="1">
      <c r="A450" s="71" t="s">
        <v>225</v>
      </c>
      <c r="B450" s="1638" t="s">
        <v>1754</v>
      </c>
      <c r="C450" s="71" t="s">
        <v>4369</v>
      </c>
      <c r="D450" s="72" t="s">
        <v>2439</v>
      </c>
      <c r="E450" s="2008" t="str">
        <f t="shared" si="25"/>
        <v>CD</v>
      </c>
      <c r="F450" s="54">
        <v>50</v>
      </c>
      <c r="G450" s="54" t="s">
        <v>512</v>
      </c>
      <c r="J450" s="54" t="str">
        <f t="shared" si="20"/>
        <v>CD195</v>
      </c>
    </row>
    <row r="451" spans="1:10" hidden="1">
      <c r="A451" s="71" t="s">
        <v>845</v>
      </c>
      <c r="B451" s="1638" t="s">
        <v>1754</v>
      </c>
      <c r="C451" s="71" t="s">
        <v>4370</v>
      </c>
      <c r="D451" s="72" t="s">
        <v>2439</v>
      </c>
      <c r="E451" s="2008" t="str">
        <f t="shared" si="25"/>
        <v>CD</v>
      </c>
      <c r="F451" s="54">
        <v>50</v>
      </c>
      <c r="G451" s="54" t="s">
        <v>512</v>
      </c>
      <c r="J451" s="54" t="str">
        <f t="shared" si="20"/>
        <v>CD207</v>
      </c>
    </row>
    <row r="452" spans="1:10" hidden="1">
      <c r="A452" s="71" t="s">
        <v>1989</v>
      </c>
      <c r="B452" s="1638" t="s">
        <v>1754</v>
      </c>
      <c r="C452" s="71" t="s">
        <v>4371</v>
      </c>
      <c r="D452" s="72" t="s">
        <v>2439</v>
      </c>
      <c r="E452" s="2008" t="str">
        <f t="shared" si="25"/>
        <v>CD</v>
      </c>
      <c r="F452" s="54">
        <v>50</v>
      </c>
      <c r="G452" s="54" t="s">
        <v>512</v>
      </c>
      <c r="J452" s="54" t="str">
        <f t="shared" si="20"/>
        <v>CD220</v>
      </c>
    </row>
    <row r="453" spans="1:10">
      <c r="A453" s="71" t="s">
        <v>803</v>
      </c>
      <c r="B453" s="1638" t="s">
        <v>1754</v>
      </c>
      <c r="C453" s="71" t="s">
        <v>4372</v>
      </c>
      <c r="D453" s="72" t="s">
        <v>2439</v>
      </c>
      <c r="E453" s="2008" t="str">
        <f t="shared" si="25"/>
        <v>CD</v>
      </c>
      <c r="F453" s="54">
        <v>50</v>
      </c>
      <c r="G453" s="54" t="s">
        <v>512</v>
      </c>
      <c r="J453" s="54" t="str">
        <f t="shared" si="20"/>
        <v>CD240</v>
      </c>
    </row>
    <row r="454" spans="1:10">
      <c r="A454" s="71" t="s">
        <v>2070</v>
      </c>
      <c r="B454" s="1638" t="s">
        <v>1754</v>
      </c>
      <c r="C454" s="71" t="s">
        <v>4373</v>
      </c>
      <c r="D454" s="72" t="s">
        <v>2439</v>
      </c>
      <c r="E454" s="2008" t="str">
        <f t="shared" si="25"/>
        <v>CD</v>
      </c>
      <c r="F454" s="54">
        <v>50</v>
      </c>
      <c r="G454" s="54" t="s">
        <v>512</v>
      </c>
      <c r="J454" s="54" t="str">
        <f t="shared" si="20"/>
        <v>CD250</v>
      </c>
    </row>
    <row r="455" spans="1:10" hidden="1">
      <c r="A455" s="71" t="s">
        <v>319</v>
      </c>
      <c r="B455" s="1638" t="s">
        <v>1754</v>
      </c>
      <c r="C455" s="71" t="s">
        <v>2969</v>
      </c>
      <c r="D455" s="72" t="s">
        <v>2439</v>
      </c>
      <c r="E455" s="2008" t="str">
        <f t="shared" si="25"/>
        <v>CD</v>
      </c>
      <c r="F455" s="54">
        <v>50</v>
      </c>
      <c r="G455" s="54" t="s">
        <v>512</v>
      </c>
      <c r="J455" s="54" t="str">
        <f t="shared" si="20"/>
        <v>CD320</v>
      </c>
    </row>
    <row r="456" spans="1:10" hidden="1">
      <c r="A456" s="71" t="s">
        <v>1877</v>
      </c>
      <c r="B456" s="1638" t="s">
        <v>1754</v>
      </c>
      <c r="C456" s="1647" t="s">
        <v>2970</v>
      </c>
      <c r="D456" s="72" t="s">
        <v>2439</v>
      </c>
      <c r="E456" s="2008" t="str">
        <f t="shared" si="25"/>
        <v>Cd</v>
      </c>
      <c r="F456" s="54">
        <v>50</v>
      </c>
      <c r="G456" s="54" t="s">
        <v>512</v>
      </c>
      <c r="J456" s="54" t="str">
        <f t="shared" si="20"/>
        <v>Cdtrudoi</v>
      </c>
    </row>
    <row r="457" spans="1:10" hidden="1">
      <c r="A457" s="71" t="s">
        <v>1878</v>
      </c>
      <c r="B457" s="1638" t="s">
        <v>1754</v>
      </c>
      <c r="C457" s="1647" t="s">
        <v>2971</v>
      </c>
      <c r="D457" s="72" t="s">
        <v>2439</v>
      </c>
      <c r="E457" s="2008" t="str">
        <f t="shared" si="25"/>
        <v>Cd</v>
      </c>
      <c r="F457" s="54">
        <v>50</v>
      </c>
      <c r="G457" s="54" t="s">
        <v>512</v>
      </c>
      <c r="J457" s="54" t="str">
        <f t="shared" si="20"/>
        <v>CdtrudoiHT</v>
      </c>
    </row>
    <row r="458" spans="1:10" hidden="1">
      <c r="A458" s="71" t="s">
        <v>472</v>
      </c>
      <c r="B458" s="1638" t="s">
        <v>1754</v>
      </c>
      <c r="C458" s="1647" t="s">
        <v>2972</v>
      </c>
      <c r="D458" s="72" t="s">
        <v>2439</v>
      </c>
      <c r="E458" s="2008" t="str">
        <f t="shared" si="25"/>
        <v>Cd</v>
      </c>
      <c r="F458" s="54">
        <v>50</v>
      </c>
      <c r="G458" s="54" t="s">
        <v>512</v>
      </c>
      <c r="J458" s="54" t="str">
        <f t="shared" si="20"/>
        <v>Cdedaucap</v>
      </c>
    </row>
    <row r="459" spans="1:10" hidden="1">
      <c r="A459" s="71" t="s">
        <v>223</v>
      </c>
      <c r="B459" s="1638" t="s">
        <v>1754</v>
      </c>
      <c r="C459" s="1647" t="s">
        <v>2973</v>
      </c>
      <c r="D459" s="72" t="s">
        <v>2439</v>
      </c>
      <c r="E459" s="2008" t="str">
        <f t="shared" si="25"/>
        <v>Cd</v>
      </c>
      <c r="F459" s="54">
        <v>50</v>
      </c>
      <c r="G459" s="54" t="s">
        <v>512</v>
      </c>
      <c r="J459" s="54" t="str">
        <f t="shared" si="20"/>
        <v>Cdtrudoi140</v>
      </c>
    </row>
    <row r="460" spans="1:10" hidden="1">
      <c r="A460" s="71" t="s">
        <v>471</v>
      </c>
      <c r="B460" s="1638" t="s">
        <v>1754</v>
      </c>
      <c r="C460" s="1647" t="s">
        <v>2974</v>
      </c>
      <c r="D460" s="72" t="s">
        <v>2439</v>
      </c>
      <c r="E460" s="2008" t="str">
        <f t="shared" si="25"/>
        <v>Cd</v>
      </c>
      <c r="F460" s="54">
        <v>50</v>
      </c>
      <c r="G460" s="54" t="s">
        <v>512</v>
      </c>
      <c r="J460" s="54" t="str">
        <f t="shared" si="20"/>
        <v>Cdtru140</v>
      </c>
    </row>
    <row r="461" spans="1:10" hidden="1">
      <c r="A461" s="71" t="s">
        <v>2002</v>
      </c>
      <c r="B461" s="1638" t="s">
        <v>1754</v>
      </c>
      <c r="C461" s="1647" t="s">
        <v>2975</v>
      </c>
      <c r="D461" s="72" t="s">
        <v>2439</v>
      </c>
      <c r="E461" s="2008" t="str">
        <f t="shared" si="25"/>
        <v>Cd</v>
      </c>
      <c r="F461" s="54">
        <v>50</v>
      </c>
      <c r="G461" s="54" t="s">
        <v>512</v>
      </c>
      <c r="J461" s="54" t="str">
        <f t="shared" si="20"/>
        <v>Cdeoptru</v>
      </c>
    </row>
    <row r="462" spans="1:10" hidden="1">
      <c r="A462" s="71" t="s">
        <v>2420</v>
      </c>
      <c r="B462" s="1638" t="s">
        <v>1754</v>
      </c>
      <c r="C462" s="1648" t="s">
        <v>2976</v>
      </c>
      <c r="D462" s="72" t="s">
        <v>2439</v>
      </c>
      <c r="E462" s="2008" t="str">
        <f t="shared" si="25"/>
        <v>CD</v>
      </c>
      <c r="F462" s="54">
        <v>50</v>
      </c>
      <c r="G462" s="54" t="s">
        <v>512</v>
      </c>
      <c r="J462" s="54" t="str">
        <f t="shared" si="20"/>
        <v>CD bắt xà</v>
      </c>
    </row>
    <row r="463" spans="1:10" hidden="1">
      <c r="A463" s="71" t="s">
        <v>226</v>
      </c>
      <c r="B463" s="1638" t="s">
        <v>1754</v>
      </c>
      <c r="C463" s="1647" t="s">
        <v>2977</v>
      </c>
      <c r="D463" s="72" t="s">
        <v>2439</v>
      </c>
      <c r="E463" s="2008" t="str">
        <f t="shared" si="25"/>
        <v>CD</v>
      </c>
      <c r="F463" s="54">
        <v>50</v>
      </c>
      <c r="G463" s="54" t="s">
        <v>512</v>
      </c>
      <c r="J463" s="54" t="str">
        <f t="shared" si="20"/>
        <v>CD30x3</v>
      </c>
    </row>
    <row r="464" spans="1:10" hidden="1">
      <c r="A464" s="71" t="s">
        <v>227</v>
      </c>
      <c r="B464" s="1638" t="s">
        <v>1754</v>
      </c>
      <c r="C464" s="1647" t="s">
        <v>2978</v>
      </c>
      <c r="D464" s="72" t="s">
        <v>2439</v>
      </c>
      <c r="E464" s="2008" t="str">
        <f t="shared" si="25"/>
        <v>CD</v>
      </c>
      <c r="F464" s="54">
        <v>50</v>
      </c>
      <c r="G464" s="54" t="s">
        <v>512</v>
      </c>
      <c r="J464" s="54" t="str">
        <f t="shared" si="20"/>
        <v>CD25x2</v>
      </c>
    </row>
    <row r="465" spans="1:10" hidden="1">
      <c r="A465" s="71" t="s">
        <v>1819</v>
      </c>
      <c r="B465" s="1638" t="s">
        <v>1754</v>
      </c>
      <c r="C465" s="71" t="s">
        <v>4374</v>
      </c>
      <c r="D465" s="72" t="s">
        <v>2439</v>
      </c>
      <c r="E465" s="2008" t="str">
        <f t="shared" si="25"/>
        <v>CD</v>
      </c>
      <c r="F465" s="54">
        <v>50</v>
      </c>
      <c r="G465" s="54" t="s">
        <v>512</v>
      </c>
      <c r="J465" s="54" t="str">
        <f t="shared" si="20"/>
        <v>CD21T</v>
      </c>
    </row>
    <row r="466" spans="1:10" hidden="1">
      <c r="A466" s="71" t="s">
        <v>203</v>
      </c>
      <c r="B466" s="1638" t="s">
        <v>1754</v>
      </c>
      <c r="C466" s="1647" t="s">
        <v>2979</v>
      </c>
      <c r="D466" s="72" t="s">
        <v>2439</v>
      </c>
      <c r="E466" s="2008" t="str">
        <f t="shared" si="25"/>
        <v>Cd</v>
      </c>
      <c r="F466" s="54">
        <v>50</v>
      </c>
      <c r="G466" s="54" t="s">
        <v>512</v>
      </c>
      <c r="J466" s="54" t="str">
        <f t="shared" si="20"/>
        <v>Cd42T</v>
      </c>
    </row>
    <row r="467" spans="1:10" hidden="1">
      <c r="A467" s="71" t="s">
        <v>1244</v>
      </c>
      <c r="B467" s="1638" t="s">
        <v>1754</v>
      </c>
      <c r="C467" s="1647" t="s">
        <v>2980</v>
      </c>
      <c r="D467" s="72" t="s">
        <v>2439</v>
      </c>
      <c r="E467" s="2008" t="str">
        <f t="shared" si="25"/>
        <v>Cd</v>
      </c>
      <c r="F467" s="54">
        <v>50</v>
      </c>
      <c r="G467" s="54" t="s">
        <v>512</v>
      </c>
      <c r="J467" s="54" t="str">
        <f t="shared" si="20"/>
        <v>Cd114T</v>
      </c>
    </row>
    <row r="468" spans="1:10" hidden="1">
      <c r="A468" s="71" t="s">
        <v>120</v>
      </c>
      <c r="B468" s="1638" t="s">
        <v>1754</v>
      </c>
      <c r="C468" s="1647" t="s">
        <v>2981</v>
      </c>
      <c r="D468" s="72" t="s">
        <v>2439</v>
      </c>
      <c r="E468" s="2008" t="str">
        <f t="shared" si="25"/>
        <v>Cd</v>
      </c>
      <c r="F468" s="54">
        <v>50</v>
      </c>
      <c r="G468" s="54" t="s">
        <v>512</v>
      </c>
      <c r="J468" s="54" t="str">
        <f t="shared" si="20"/>
        <v>Cd140T</v>
      </c>
    </row>
    <row r="469" spans="1:10" hidden="1">
      <c r="A469" s="71" t="s">
        <v>588</v>
      </c>
      <c r="B469" s="1638" t="s">
        <v>1754</v>
      </c>
      <c r="C469" s="1647" t="s">
        <v>2982</v>
      </c>
      <c r="D469" s="72" t="s">
        <v>2439</v>
      </c>
      <c r="E469" s="2008" t="str">
        <f>LEFT(A469,2)</f>
        <v>CD</v>
      </c>
      <c r="F469" s="54">
        <v>50</v>
      </c>
      <c r="G469" s="54" t="s">
        <v>512</v>
      </c>
      <c r="J469" s="54" t="str">
        <f t="shared" si="20"/>
        <v>CD5x50</v>
      </c>
    </row>
    <row r="470" spans="1:10" hidden="1">
      <c r="A470" s="71" t="s">
        <v>4840</v>
      </c>
      <c r="B470" s="1638" t="s">
        <v>1754</v>
      </c>
      <c r="C470" s="1647" t="s">
        <v>4839</v>
      </c>
      <c r="D470" s="72" t="s">
        <v>2439</v>
      </c>
      <c r="E470" s="2008" t="str">
        <f t="shared" si="25"/>
        <v>CD</v>
      </c>
      <c r="F470" s="54">
        <v>50</v>
      </c>
      <c r="G470" s="54" t="s">
        <v>512</v>
      </c>
      <c r="J470" s="54" t="str">
        <f t="shared" ref="J470:J534" si="26">A470</f>
        <v>CD6x60</v>
      </c>
    </row>
    <row r="471" spans="1:10" hidden="1">
      <c r="A471" s="71" t="s">
        <v>569</v>
      </c>
      <c r="B471" s="1638" t="s">
        <v>1754</v>
      </c>
      <c r="C471" s="1647" t="s">
        <v>2983</v>
      </c>
      <c r="D471" s="72" t="s">
        <v>2439</v>
      </c>
      <c r="E471" s="2008" t="str">
        <f t="shared" si="25"/>
        <v>CD</v>
      </c>
      <c r="F471" s="54">
        <v>50</v>
      </c>
      <c r="G471" s="54" t="s">
        <v>512</v>
      </c>
      <c r="J471" s="54" t="str">
        <f t="shared" si="26"/>
        <v>CDXA</v>
      </c>
    </row>
    <row r="472" spans="1:10" hidden="1">
      <c r="A472" s="71" t="s">
        <v>4326</v>
      </c>
      <c r="B472" s="1638"/>
      <c r="C472" s="1647" t="s">
        <v>4327</v>
      </c>
      <c r="D472" s="72" t="s">
        <v>2555</v>
      </c>
      <c r="E472" s="2008" t="str">
        <f t="shared" si="25"/>
        <v>CO</v>
      </c>
      <c r="F472" s="54">
        <v>50</v>
      </c>
      <c r="G472" s="54" t="s">
        <v>512</v>
      </c>
      <c r="J472" s="54" t="str">
        <f t="shared" si="26"/>
        <v>COM110x800x5-2,4</v>
      </c>
    </row>
    <row r="473" spans="1:10" hidden="1">
      <c r="A473" s="71" t="s">
        <v>4451</v>
      </c>
      <c r="B473" s="1638"/>
      <c r="C473" s="1647" t="s">
        <v>4452</v>
      </c>
      <c r="D473" s="72" t="s">
        <v>2555</v>
      </c>
      <c r="E473" s="2008" t="str">
        <f>LEFT(A473,2)</f>
        <v>CO</v>
      </c>
      <c r="F473" s="54">
        <v>50</v>
      </c>
      <c r="G473" s="54" t="s">
        <v>512</v>
      </c>
      <c r="J473" s="54" t="str">
        <f t="shared" si="26"/>
        <v>COM110x800x5-2,6</v>
      </c>
    </row>
    <row r="474" spans="1:10" hidden="1">
      <c r="A474" s="71" t="s">
        <v>4540</v>
      </c>
      <c r="B474" s="1638"/>
      <c r="C474" s="1647" t="s">
        <v>4862</v>
      </c>
      <c r="D474" s="72" t="s">
        <v>2555</v>
      </c>
      <c r="E474" s="2008" t="str">
        <f>LEFT(A474,2)</f>
        <v>CO</v>
      </c>
      <c r="F474" s="54">
        <v>50</v>
      </c>
      <c r="G474" s="54" t="s">
        <v>512</v>
      </c>
      <c r="J474" s="54" t="str">
        <f t="shared" si="26"/>
        <v>COM08</v>
      </c>
    </row>
    <row r="475" spans="1:10" hidden="1">
      <c r="A475" s="71" t="s">
        <v>4510</v>
      </c>
      <c r="B475" s="1638"/>
      <c r="C475" s="1647" t="s">
        <v>4511</v>
      </c>
      <c r="D475" s="72" t="s">
        <v>2439</v>
      </c>
      <c r="E475" s="2008" t="str">
        <f>LEFT(A475,2)</f>
        <v>CO</v>
      </c>
      <c r="F475" s="54">
        <v>50</v>
      </c>
      <c r="G475" s="54" t="s">
        <v>512</v>
      </c>
      <c r="J475" s="54" t="str">
        <f t="shared" si="26"/>
        <v>COM08-720</v>
      </c>
    </row>
    <row r="476" spans="1:10" hidden="1">
      <c r="A476" s="71" t="s">
        <v>4726</v>
      </c>
      <c r="B476" s="1638"/>
      <c r="C476" s="1647" t="s">
        <v>4863</v>
      </c>
      <c r="D476" s="72" t="s">
        <v>2555</v>
      </c>
      <c r="E476" s="2008" t="str">
        <f>LEFT(A476,2)</f>
        <v>co</v>
      </c>
      <c r="F476" s="54">
        <v>50</v>
      </c>
      <c r="G476" s="54" t="s">
        <v>512</v>
      </c>
      <c r="J476" s="54" t="str">
        <f t="shared" si="26"/>
        <v>com40x10x720</v>
      </c>
    </row>
    <row r="477" spans="1:10" hidden="1">
      <c r="A477" s="71" t="s">
        <v>362</v>
      </c>
      <c r="B477" s="1638"/>
      <c r="C477" s="1647" t="s">
        <v>2984</v>
      </c>
      <c r="D477" s="72" t="s">
        <v>2555</v>
      </c>
      <c r="E477" s="2008" t="str">
        <f t="shared" si="25"/>
        <v>CO</v>
      </c>
      <c r="F477" s="54">
        <v>50</v>
      </c>
      <c r="G477" s="54" t="s">
        <v>512</v>
      </c>
      <c r="J477" s="54" t="str">
        <f t="shared" si="26"/>
        <v>COM110x800x5</v>
      </c>
    </row>
    <row r="478" spans="1:10" hidden="1">
      <c r="A478" s="71" t="s">
        <v>363</v>
      </c>
      <c r="B478" s="1638"/>
      <c r="C478" s="1647" t="s">
        <v>2985</v>
      </c>
      <c r="D478" s="72" t="s">
        <v>2555</v>
      </c>
      <c r="E478" s="2008" t="str">
        <f t="shared" si="25"/>
        <v>CO</v>
      </c>
      <c r="F478" s="54">
        <v>50</v>
      </c>
      <c r="G478" s="54" t="s">
        <v>512</v>
      </c>
      <c r="J478" s="54" t="str">
        <f t="shared" si="26"/>
        <v>COM40X10X920</v>
      </c>
    </row>
    <row r="479" spans="1:10" hidden="1">
      <c r="A479" s="71" t="s">
        <v>1533</v>
      </c>
      <c r="B479" s="1638"/>
      <c r="C479" s="71" t="s">
        <v>2986</v>
      </c>
      <c r="D479" s="72" t="s">
        <v>2831</v>
      </c>
      <c r="E479" s="2008" t="str">
        <f t="shared" si="25"/>
        <v>T7</v>
      </c>
      <c r="F479" s="54">
        <v>16</v>
      </c>
      <c r="G479" s="54" t="s">
        <v>512</v>
      </c>
      <c r="J479" s="54" t="str">
        <f t="shared" si="26"/>
        <v>T75</v>
      </c>
    </row>
    <row r="480" spans="1:10" hidden="1">
      <c r="A480" s="71" t="s">
        <v>874</v>
      </c>
      <c r="B480" s="1638"/>
      <c r="C480" s="71" t="s">
        <v>2987</v>
      </c>
      <c r="D480" s="72" t="s">
        <v>2831</v>
      </c>
      <c r="E480" s="2008" t="str">
        <f t="shared" si="25"/>
        <v>T8</v>
      </c>
      <c r="F480" s="54">
        <v>16</v>
      </c>
      <c r="G480" s="54" t="s">
        <v>512</v>
      </c>
      <c r="J480" s="54" t="str">
        <f t="shared" si="26"/>
        <v>T84</v>
      </c>
    </row>
    <row r="481" spans="1:10" hidden="1">
      <c r="A481" s="71" t="s">
        <v>186</v>
      </c>
      <c r="B481" s="1638"/>
      <c r="C481" s="71" t="s">
        <v>2988</v>
      </c>
      <c r="D481" s="72" t="s">
        <v>2831</v>
      </c>
      <c r="E481" s="2008" t="str">
        <f t="shared" si="25"/>
        <v>T8</v>
      </c>
      <c r="F481" s="54">
        <v>16</v>
      </c>
      <c r="G481" s="54" t="s">
        <v>512</v>
      </c>
      <c r="J481" s="54" t="str">
        <f t="shared" si="26"/>
        <v>T84td</v>
      </c>
    </row>
    <row r="482" spans="1:10" hidden="1">
      <c r="A482" s="71" t="s">
        <v>993</v>
      </c>
      <c r="B482" s="1638"/>
      <c r="C482" s="71" t="s">
        <v>2989</v>
      </c>
      <c r="D482" s="72" t="s">
        <v>2831</v>
      </c>
      <c r="E482" s="2008" t="str">
        <f t="shared" si="25"/>
        <v>T8</v>
      </c>
      <c r="F482" s="54">
        <v>16</v>
      </c>
      <c r="G482" s="54" t="s">
        <v>512</v>
      </c>
      <c r="J482" s="54" t="str">
        <f t="shared" si="26"/>
        <v>T85</v>
      </c>
    </row>
    <row r="483" spans="1:10" hidden="1">
      <c r="A483" s="71" t="s">
        <v>1874</v>
      </c>
      <c r="B483" s="1638"/>
      <c r="C483" s="71" t="s">
        <v>2990</v>
      </c>
      <c r="D483" s="72" t="s">
        <v>2831</v>
      </c>
      <c r="E483" s="2008" t="str">
        <f t="shared" si="25"/>
        <v>T1</v>
      </c>
      <c r="F483" s="54">
        <v>16</v>
      </c>
      <c r="G483" s="54" t="s">
        <v>512</v>
      </c>
      <c r="J483" s="54" t="str">
        <f t="shared" si="26"/>
        <v>T10</v>
      </c>
    </row>
    <row r="484" spans="1:10" hidden="1">
      <c r="A484" s="71" t="s">
        <v>114</v>
      </c>
      <c r="B484" s="1638"/>
      <c r="C484" s="71" t="s">
        <v>2991</v>
      </c>
      <c r="D484" s="72" t="s">
        <v>2831</v>
      </c>
      <c r="E484" s="2008" t="str">
        <f t="shared" si="25"/>
        <v>T1</v>
      </c>
      <c r="F484" s="54">
        <v>16</v>
      </c>
      <c r="G484" s="54" t="s">
        <v>512</v>
      </c>
      <c r="J484" s="54" t="str">
        <f t="shared" si="26"/>
        <v>T105</v>
      </c>
    </row>
    <row r="485" spans="1:10" hidden="1">
      <c r="A485" s="71" t="s">
        <v>115</v>
      </c>
      <c r="B485" s="1638"/>
      <c r="C485" s="71" t="s">
        <v>4643</v>
      </c>
      <c r="D485" s="72" t="s">
        <v>2831</v>
      </c>
      <c r="E485" s="2008" t="str">
        <f t="shared" si="25"/>
        <v>T1</v>
      </c>
      <c r="F485" s="54">
        <v>16</v>
      </c>
      <c r="G485" s="54" t="s">
        <v>512</v>
      </c>
      <c r="J485" s="54" t="str">
        <f t="shared" si="26"/>
        <v>T12</v>
      </c>
    </row>
    <row r="486" spans="1:10" hidden="1">
      <c r="A486" s="71" t="s">
        <v>2412</v>
      </c>
      <c r="B486" s="1638"/>
      <c r="C486" s="71" t="s">
        <v>6532</v>
      </c>
      <c r="D486" s="72" t="s">
        <v>2831</v>
      </c>
      <c r="E486" s="2008" t="str">
        <f t="shared" si="25"/>
        <v>T1</v>
      </c>
      <c r="F486" s="54">
        <v>16</v>
      </c>
      <c r="G486" s="54" t="s">
        <v>512</v>
      </c>
      <c r="J486" s="54" t="str">
        <f t="shared" si="26"/>
        <v>T12TĐ</v>
      </c>
    </row>
    <row r="487" spans="1:10" hidden="1">
      <c r="A487" s="71" t="s">
        <v>107</v>
      </c>
      <c r="B487" s="1638"/>
      <c r="C487" s="71" t="s">
        <v>2993</v>
      </c>
      <c r="D487" s="72" t="s">
        <v>2831</v>
      </c>
      <c r="E487" s="2008" t="str">
        <f t="shared" si="25"/>
        <v>T1</v>
      </c>
      <c r="F487" s="54">
        <v>16</v>
      </c>
      <c r="G487" s="54" t="s">
        <v>512</v>
      </c>
      <c r="J487" s="54" t="str">
        <f t="shared" si="26"/>
        <v>T14</v>
      </c>
    </row>
    <row r="488" spans="1:10">
      <c r="A488" s="71" t="s">
        <v>2091</v>
      </c>
      <c r="B488" s="1638"/>
      <c r="C488" s="71" t="s">
        <v>2994</v>
      </c>
      <c r="D488" s="72" t="s">
        <v>2831</v>
      </c>
      <c r="E488" s="2008" t="str">
        <f t="shared" si="25"/>
        <v>T2</v>
      </c>
      <c r="F488" s="54">
        <v>16</v>
      </c>
      <c r="G488" s="54" t="s">
        <v>512</v>
      </c>
      <c r="J488" s="54" t="str">
        <f t="shared" si="26"/>
        <v>T20</v>
      </c>
    </row>
    <row r="489" spans="1:10" hidden="1">
      <c r="A489" s="71" t="s">
        <v>110</v>
      </c>
      <c r="B489" s="1638"/>
      <c r="C489" s="71" t="s">
        <v>2995</v>
      </c>
      <c r="D489" s="72" t="s">
        <v>2248</v>
      </c>
      <c r="E489" s="2008" t="str">
        <f t="shared" si="25"/>
        <v>SO</v>
      </c>
      <c r="F489" s="54">
        <v>50</v>
      </c>
      <c r="G489" s="54" t="s">
        <v>512</v>
      </c>
      <c r="J489" s="54" t="str">
        <f t="shared" si="26"/>
        <v>SON</v>
      </c>
    </row>
    <row r="490" spans="1:10" hidden="1">
      <c r="A490" s="71" t="s">
        <v>855</v>
      </c>
      <c r="B490" s="1638"/>
      <c r="C490" s="71" t="s">
        <v>2996</v>
      </c>
      <c r="D490" s="72" t="s">
        <v>2248</v>
      </c>
      <c r="E490" s="2008" t="str">
        <f t="shared" si="25"/>
        <v>SO</v>
      </c>
      <c r="F490" s="54">
        <v>50</v>
      </c>
      <c r="G490" s="54" t="s">
        <v>512</v>
      </c>
      <c r="J490" s="54" t="str">
        <f t="shared" si="26"/>
        <v>SONCR</v>
      </c>
    </row>
    <row r="491" spans="1:10" hidden="1">
      <c r="A491" s="71" t="s">
        <v>755</v>
      </c>
      <c r="B491" s="1638"/>
      <c r="C491" s="71" t="s">
        <v>2997</v>
      </c>
      <c r="D491" s="72" t="s">
        <v>856</v>
      </c>
      <c r="E491" s="2008" t="str">
        <f t="shared" si="25"/>
        <v>NU</v>
      </c>
      <c r="F491" s="54">
        <v>50</v>
      </c>
      <c r="G491" s="54" t="s">
        <v>512</v>
      </c>
      <c r="J491" s="54" t="str">
        <f t="shared" si="26"/>
        <v>NU</v>
      </c>
    </row>
    <row r="492" spans="1:10" hidden="1">
      <c r="A492" s="71" t="s">
        <v>857</v>
      </c>
      <c r="B492" s="1638"/>
      <c r="C492" s="71" t="s">
        <v>2998</v>
      </c>
      <c r="D492" s="72" t="s">
        <v>856</v>
      </c>
      <c r="E492" s="2008" t="str">
        <f t="shared" si="25"/>
        <v>GO</v>
      </c>
      <c r="F492" s="54">
        <v>999</v>
      </c>
      <c r="G492" s="54" t="s">
        <v>512</v>
      </c>
      <c r="J492" s="54" t="str">
        <f t="shared" si="26"/>
        <v>GO</v>
      </c>
    </row>
    <row r="493" spans="1:10" hidden="1">
      <c r="A493" s="71" t="s">
        <v>2056</v>
      </c>
      <c r="B493" s="1638"/>
      <c r="C493" s="71" t="s">
        <v>2999</v>
      </c>
      <c r="D493" s="72" t="s">
        <v>2248</v>
      </c>
      <c r="E493" s="2008" t="str">
        <f t="shared" ref="E493:E557" si="27">LEFT(A493,2)</f>
        <v>DI</v>
      </c>
      <c r="F493" s="54">
        <v>50</v>
      </c>
      <c r="G493" s="54" t="s">
        <v>512</v>
      </c>
      <c r="J493" s="54" t="str">
        <f t="shared" si="26"/>
        <v>DINH</v>
      </c>
    </row>
    <row r="494" spans="1:10" hidden="1">
      <c r="A494" s="71" t="s">
        <v>753</v>
      </c>
      <c r="B494" s="75"/>
      <c r="C494" s="71" t="s">
        <v>3000</v>
      </c>
      <c r="D494" s="72" t="s">
        <v>856</v>
      </c>
      <c r="E494" s="2008" t="str">
        <f t="shared" si="27"/>
        <v>D1</v>
      </c>
      <c r="F494" s="54">
        <v>999</v>
      </c>
      <c r="G494" s="54" t="s">
        <v>512</v>
      </c>
      <c r="J494" s="54" t="str">
        <f t="shared" si="26"/>
        <v>D1x2</v>
      </c>
    </row>
    <row r="495" spans="1:10" hidden="1">
      <c r="A495" s="71" t="s">
        <v>131</v>
      </c>
      <c r="B495" s="75"/>
      <c r="C495" s="71" t="s">
        <v>3001</v>
      </c>
      <c r="D495" s="72" t="s">
        <v>856</v>
      </c>
      <c r="E495" s="2008" t="str">
        <f t="shared" si="27"/>
        <v>D0</v>
      </c>
      <c r="F495" s="54">
        <v>999</v>
      </c>
      <c r="G495" s="54" t="s">
        <v>512</v>
      </c>
      <c r="J495" s="54" t="str">
        <f t="shared" si="26"/>
        <v>D0x4</v>
      </c>
    </row>
    <row r="496" spans="1:10" hidden="1">
      <c r="A496" s="71" t="s">
        <v>520</v>
      </c>
      <c r="B496" s="75"/>
      <c r="C496" s="71" t="s">
        <v>3002</v>
      </c>
      <c r="D496" s="72" t="s">
        <v>856</v>
      </c>
      <c r="E496" s="2008" t="str">
        <f t="shared" si="27"/>
        <v>D2</v>
      </c>
      <c r="F496" s="54">
        <v>999</v>
      </c>
      <c r="G496" s="54" t="s">
        <v>512</v>
      </c>
      <c r="J496" s="54" t="str">
        <f t="shared" si="26"/>
        <v>D2x4</v>
      </c>
    </row>
    <row r="497" spans="1:10" hidden="1">
      <c r="A497" s="71" t="s">
        <v>754</v>
      </c>
      <c r="B497" s="1638"/>
      <c r="C497" s="71" t="s">
        <v>3003</v>
      </c>
      <c r="D497" s="72" t="s">
        <v>856</v>
      </c>
      <c r="E497" s="2008" t="str">
        <f t="shared" si="27"/>
        <v>D4</v>
      </c>
      <c r="F497" s="54">
        <v>999</v>
      </c>
      <c r="G497" s="54" t="s">
        <v>512</v>
      </c>
      <c r="J497" s="54" t="str">
        <f t="shared" si="26"/>
        <v>D4x6</v>
      </c>
    </row>
    <row r="498" spans="1:10" hidden="1">
      <c r="A498" s="970" t="s">
        <v>4412</v>
      </c>
      <c r="B498" s="1638"/>
      <c r="C498" s="71" t="s">
        <v>3004</v>
      </c>
      <c r="D498" s="72" t="s">
        <v>856</v>
      </c>
      <c r="E498" s="2008" t="str">
        <f>LEFT(A498,2)</f>
        <v>ca</v>
      </c>
      <c r="F498" s="54">
        <v>997</v>
      </c>
      <c r="G498" s="54" t="s">
        <v>512</v>
      </c>
      <c r="J498" s="54" t="str">
        <f>A498</f>
        <v>cat</v>
      </c>
    </row>
    <row r="499" spans="1:10" hidden="1">
      <c r="A499" s="970" t="s">
        <v>4991</v>
      </c>
      <c r="B499" s="1638"/>
      <c r="C499" s="71" t="s">
        <v>3004</v>
      </c>
      <c r="D499" s="72" t="s">
        <v>856</v>
      </c>
      <c r="E499" s="2008" t="str">
        <f t="shared" si="27"/>
        <v>cv</v>
      </c>
      <c r="F499" s="54">
        <v>997</v>
      </c>
      <c r="G499" s="54" t="s">
        <v>512</v>
      </c>
      <c r="J499" s="54" t="str">
        <f t="shared" si="26"/>
        <v>cv</v>
      </c>
    </row>
    <row r="500" spans="1:10" hidden="1">
      <c r="A500" s="71" t="s">
        <v>934</v>
      </c>
      <c r="B500" s="1638"/>
      <c r="C500" s="71" t="s">
        <v>3005</v>
      </c>
      <c r="D500" s="72" t="s">
        <v>3006</v>
      </c>
      <c r="E500" s="2008" t="str">
        <f t="shared" si="27"/>
        <v>ga</v>
      </c>
      <c r="F500" s="54">
        <v>50</v>
      </c>
      <c r="G500" s="54" t="s">
        <v>512</v>
      </c>
      <c r="J500" s="54" t="str">
        <f t="shared" si="26"/>
        <v>gachong</v>
      </c>
    </row>
    <row r="501" spans="1:10" hidden="1">
      <c r="A501" s="71" t="s">
        <v>1675</v>
      </c>
      <c r="B501" s="1638"/>
      <c r="C501" s="71" t="s">
        <v>3007</v>
      </c>
      <c r="D501" s="72" t="s">
        <v>3006</v>
      </c>
      <c r="E501" s="2008" t="str">
        <f t="shared" si="27"/>
        <v>ga</v>
      </c>
      <c r="F501" s="54">
        <v>50</v>
      </c>
      <c r="G501" s="54" t="s">
        <v>512</v>
      </c>
      <c r="J501" s="54" t="str">
        <f t="shared" si="26"/>
        <v>gachtau</v>
      </c>
    </row>
    <row r="502" spans="1:10" hidden="1">
      <c r="A502" s="71" t="s">
        <v>84</v>
      </c>
      <c r="B502" s="1638"/>
      <c r="C502" s="71" t="s">
        <v>3008</v>
      </c>
      <c r="D502" s="72" t="s">
        <v>3006</v>
      </c>
      <c r="E502" s="2008" t="str">
        <f t="shared" si="27"/>
        <v>ga</v>
      </c>
      <c r="F502" s="54">
        <v>50</v>
      </c>
      <c r="G502" s="54" t="s">
        <v>512</v>
      </c>
      <c r="J502" s="54" t="str">
        <f t="shared" si="26"/>
        <v>gachthe</v>
      </c>
    </row>
    <row r="503" spans="1:10" hidden="1">
      <c r="A503" s="71" t="s">
        <v>751</v>
      </c>
      <c r="B503" s="1638"/>
      <c r="C503" s="71" t="s">
        <v>4854</v>
      </c>
      <c r="D503" s="72" t="s">
        <v>2248</v>
      </c>
      <c r="E503" s="2008" t="str">
        <f t="shared" si="27"/>
        <v>XM</v>
      </c>
      <c r="F503" s="54">
        <v>996</v>
      </c>
      <c r="G503" s="54" t="s">
        <v>512</v>
      </c>
      <c r="J503" s="54" t="str">
        <f t="shared" si="26"/>
        <v>XM</v>
      </c>
    </row>
    <row r="504" spans="1:10" hidden="1">
      <c r="A504" s="71" t="s">
        <v>702</v>
      </c>
      <c r="B504" s="1638"/>
      <c r="C504" s="1646" t="s">
        <v>3009</v>
      </c>
      <c r="D504" s="72" t="s">
        <v>2248</v>
      </c>
      <c r="E504" s="2008" t="str">
        <f t="shared" si="27"/>
        <v>qh</v>
      </c>
      <c r="F504" s="54">
        <v>50</v>
      </c>
      <c r="G504" s="54" t="s">
        <v>512</v>
      </c>
      <c r="J504" s="54" t="str">
        <f t="shared" si="26"/>
        <v>qhan</v>
      </c>
    </row>
    <row r="505" spans="1:10" hidden="1">
      <c r="A505" s="71" t="s">
        <v>869</v>
      </c>
      <c r="B505" s="1638"/>
      <c r="C505" s="1646" t="s">
        <v>3010</v>
      </c>
      <c r="D505" s="72" t="s">
        <v>2555</v>
      </c>
      <c r="E505" s="2008" t="str">
        <f t="shared" si="27"/>
        <v>co</v>
      </c>
      <c r="F505" s="54">
        <v>50</v>
      </c>
      <c r="G505" s="54" t="s">
        <v>512</v>
      </c>
      <c r="J505" s="54" t="str">
        <f t="shared" si="26"/>
        <v>coson</v>
      </c>
    </row>
    <row r="506" spans="1:10" hidden="1">
      <c r="A506" s="71" t="s">
        <v>1676</v>
      </c>
      <c r="B506" s="75"/>
      <c r="C506" s="1647" t="s">
        <v>3011</v>
      </c>
      <c r="D506" s="72" t="s">
        <v>1960</v>
      </c>
      <c r="E506" s="2008" t="str">
        <f t="shared" si="27"/>
        <v>Ni</v>
      </c>
      <c r="F506" s="54">
        <v>50</v>
      </c>
      <c r="G506" s="54" t="s">
        <v>512</v>
      </c>
      <c r="J506" s="54" t="str">
        <f t="shared" si="26"/>
        <v>Nilong</v>
      </c>
    </row>
    <row r="507" spans="1:10" hidden="1">
      <c r="A507" s="71" t="s">
        <v>918</v>
      </c>
      <c r="B507" s="1638"/>
      <c r="C507" s="1646" t="s">
        <v>3012</v>
      </c>
      <c r="D507" s="72" t="s">
        <v>1823</v>
      </c>
      <c r="E507" s="2008" t="str">
        <f t="shared" si="27"/>
        <v>NL</v>
      </c>
      <c r="F507" s="54">
        <v>50</v>
      </c>
      <c r="G507" s="54" t="s">
        <v>512</v>
      </c>
      <c r="J507" s="54" t="str">
        <f t="shared" si="26"/>
        <v>NLON</v>
      </c>
    </row>
    <row r="508" spans="1:10" hidden="1">
      <c r="A508" s="71" t="s">
        <v>2215</v>
      </c>
      <c r="B508" s="1638"/>
      <c r="C508" s="71" t="s">
        <v>3013</v>
      </c>
      <c r="D508" s="72" t="s">
        <v>2248</v>
      </c>
      <c r="E508" s="2008" t="str">
        <f t="shared" si="27"/>
        <v>th</v>
      </c>
      <c r="F508" s="54">
        <v>50</v>
      </c>
      <c r="G508" s="54" t="s">
        <v>512</v>
      </c>
      <c r="J508" s="54" t="str">
        <f t="shared" si="26"/>
        <v>thepb</v>
      </c>
    </row>
    <row r="509" spans="1:10" hidden="1">
      <c r="A509" s="71" t="s">
        <v>1352</v>
      </c>
      <c r="B509" s="1638"/>
      <c r="C509" s="71" t="s">
        <v>3014</v>
      </c>
      <c r="D509" s="72" t="s">
        <v>2555</v>
      </c>
      <c r="E509" s="2008" t="str">
        <f t="shared" si="27"/>
        <v>da</v>
      </c>
      <c r="F509" s="54">
        <v>50</v>
      </c>
      <c r="G509" s="54" t="s">
        <v>512</v>
      </c>
      <c r="J509" s="54" t="str">
        <f t="shared" si="26"/>
        <v>daucap50</v>
      </c>
    </row>
    <row r="510" spans="1:10" hidden="1">
      <c r="A510" s="71" t="s">
        <v>1917</v>
      </c>
      <c r="B510" s="1638"/>
      <c r="C510" s="71" t="s">
        <v>3015</v>
      </c>
      <c r="D510" s="72" t="s">
        <v>2555</v>
      </c>
      <c r="E510" s="2008" t="str">
        <f t="shared" si="27"/>
        <v>da</v>
      </c>
      <c r="F510" s="54">
        <v>50</v>
      </c>
      <c r="G510" s="54" t="s">
        <v>512</v>
      </c>
      <c r="J510" s="54" t="str">
        <f t="shared" si="26"/>
        <v>daucap70</v>
      </c>
    </row>
    <row r="511" spans="1:10" hidden="1">
      <c r="A511" s="71" t="s">
        <v>2216</v>
      </c>
      <c r="B511" s="1638"/>
      <c r="C511" s="71" t="s">
        <v>3016</v>
      </c>
      <c r="D511" s="72" t="s">
        <v>2555</v>
      </c>
      <c r="E511" s="2008" t="str">
        <f t="shared" si="27"/>
        <v>da</v>
      </c>
      <c r="F511" s="54">
        <v>50</v>
      </c>
      <c r="G511" s="54" t="s">
        <v>512</v>
      </c>
      <c r="J511" s="54" t="str">
        <f t="shared" si="26"/>
        <v>daucap95</v>
      </c>
    </row>
    <row r="512" spans="1:10" hidden="1">
      <c r="A512" s="71" t="s">
        <v>1273</v>
      </c>
      <c r="B512" s="1638"/>
      <c r="C512" s="71" t="s">
        <v>3017</v>
      </c>
      <c r="D512" s="72" t="s">
        <v>2555</v>
      </c>
      <c r="E512" s="2008" t="str">
        <f t="shared" si="27"/>
        <v>da</v>
      </c>
      <c r="F512" s="54">
        <v>50</v>
      </c>
      <c r="G512" s="54" t="s">
        <v>512</v>
      </c>
      <c r="J512" s="54" t="str">
        <f t="shared" si="26"/>
        <v>daucap120</v>
      </c>
    </row>
    <row r="513" spans="1:10" hidden="1">
      <c r="A513" s="71" t="s">
        <v>1849</v>
      </c>
      <c r="B513" s="1638"/>
      <c r="C513" s="71" t="s">
        <v>3018</v>
      </c>
      <c r="D513" s="72" t="s">
        <v>2555</v>
      </c>
      <c r="E513" s="2008" t="str">
        <f t="shared" si="27"/>
        <v>da</v>
      </c>
      <c r="F513" s="54">
        <v>50</v>
      </c>
      <c r="G513" s="54" t="s">
        <v>512</v>
      </c>
      <c r="J513" s="54" t="str">
        <f t="shared" si="26"/>
        <v>daucap150</v>
      </c>
    </row>
    <row r="514" spans="1:10" hidden="1">
      <c r="A514" s="71" t="s">
        <v>1394</v>
      </c>
      <c r="B514" s="1638"/>
      <c r="C514" s="71" t="s">
        <v>3019</v>
      </c>
      <c r="D514" s="72" t="s">
        <v>2555</v>
      </c>
      <c r="E514" s="2008" t="str">
        <f t="shared" si="27"/>
        <v>da</v>
      </c>
      <c r="F514" s="54">
        <v>50</v>
      </c>
      <c r="G514" s="54" t="s">
        <v>512</v>
      </c>
      <c r="J514" s="54" t="str">
        <f t="shared" si="26"/>
        <v>daucap185</v>
      </c>
    </row>
    <row r="515" spans="1:10" hidden="1">
      <c r="A515" s="71" t="s">
        <v>264</v>
      </c>
      <c r="B515" s="1638"/>
      <c r="C515" s="71" t="s">
        <v>3020</v>
      </c>
      <c r="D515" s="72" t="s">
        <v>2555</v>
      </c>
      <c r="E515" s="2008" t="str">
        <f t="shared" si="27"/>
        <v>da</v>
      </c>
      <c r="F515" s="54">
        <v>50</v>
      </c>
      <c r="G515" s="54" t="s">
        <v>512</v>
      </c>
      <c r="J515" s="54" t="str">
        <f t="shared" si="26"/>
        <v>daucap240</v>
      </c>
    </row>
    <row r="516" spans="1:10" hidden="1">
      <c r="A516" s="71" t="s">
        <v>1353</v>
      </c>
      <c r="B516" s="1638"/>
      <c r="C516" s="71" t="s">
        <v>3021</v>
      </c>
      <c r="D516" s="72" t="s">
        <v>2555</v>
      </c>
      <c r="E516" s="2008" t="str">
        <f t="shared" si="27"/>
        <v>da</v>
      </c>
      <c r="F516" s="54">
        <v>50</v>
      </c>
      <c r="G516" s="54" t="s">
        <v>512</v>
      </c>
      <c r="J516" s="54" t="str">
        <f t="shared" si="26"/>
        <v>daucap50in</v>
      </c>
    </row>
    <row r="517" spans="1:10" hidden="1">
      <c r="A517" s="71" t="s">
        <v>1354</v>
      </c>
      <c r="B517" s="1638"/>
      <c r="C517" s="71" t="s">
        <v>3022</v>
      </c>
      <c r="D517" s="72" t="s">
        <v>2555</v>
      </c>
      <c r="E517" s="2008" t="str">
        <f t="shared" si="27"/>
        <v>da</v>
      </c>
      <c r="F517" s="54">
        <v>50</v>
      </c>
      <c r="G517" s="54" t="s">
        <v>512</v>
      </c>
      <c r="J517" s="54" t="str">
        <f t="shared" si="26"/>
        <v>daucap70in</v>
      </c>
    </row>
    <row r="518" spans="1:10" hidden="1">
      <c r="A518" s="71" t="s">
        <v>868</v>
      </c>
      <c r="B518" s="1638"/>
      <c r="C518" s="71" t="s">
        <v>3023</v>
      </c>
      <c r="D518" s="72" t="s">
        <v>2555</v>
      </c>
      <c r="E518" s="2008" t="str">
        <f t="shared" si="27"/>
        <v>da</v>
      </c>
      <c r="F518" s="54">
        <v>50</v>
      </c>
      <c r="G518" s="54" t="s">
        <v>512</v>
      </c>
      <c r="J518" s="54" t="str">
        <f t="shared" si="26"/>
        <v>daucap95in</v>
      </c>
    </row>
    <row r="519" spans="1:10" hidden="1">
      <c r="A519" s="71" t="s">
        <v>1351</v>
      </c>
      <c r="B519" s="1638"/>
      <c r="C519" s="71" t="s">
        <v>3024</v>
      </c>
      <c r="D519" s="72" t="s">
        <v>2555</v>
      </c>
      <c r="E519" s="2008" t="str">
        <f t="shared" si="27"/>
        <v>da</v>
      </c>
      <c r="F519" s="54">
        <v>50</v>
      </c>
      <c r="G519" s="54" t="s">
        <v>512</v>
      </c>
      <c r="J519" s="54" t="str">
        <f t="shared" si="26"/>
        <v>daucap120in</v>
      </c>
    </row>
    <row r="520" spans="1:10" hidden="1">
      <c r="A520" s="71" t="s">
        <v>221</v>
      </c>
      <c r="B520" s="1638"/>
      <c r="C520" s="71" t="s">
        <v>3025</v>
      </c>
      <c r="D520" s="72" t="s">
        <v>2555</v>
      </c>
      <c r="E520" s="2008" t="str">
        <f t="shared" si="27"/>
        <v>da</v>
      </c>
      <c r="F520" s="54">
        <v>50</v>
      </c>
      <c r="G520" s="54" t="s">
        <v>512</v>
      </c>
      <c r="J520" s="54" t="str">
        <f t="shared" si="26"/>
        <v>daucap150in</v>
      </c>
    </row>
    <row r="521" spans="1:10" hidden="1">
      <c r="A521" s="71" t="s">
        <v>1028</v>
      </c>
      <c r="B521" s="1638"/>
      <c r="C521" s="71" t="s">
        <v>3026</v>
      </c>
      <c r="D521" s="72" t="s">
        <v>2555</v>
      </c>
      <c r="E521" s="2008" t="str">
        <f t="shared" si="27"/>
        <v>da</v>
      </c>
      <c r="F521" s="54">
        <v>50</v>
      </c>
      <c r="G521" s="54" t="s">
        <v>512</v>
      </c>
      <c r="J521" s="54" t="str">
        <f t="shared" si="26"/>
        <v>daucap185in</v>
      </c>
    </row>
    <row r="522" spans="1:10" hidden="1">
      <c r="A522" s="71" t="s">
        <v>1910</v>
      </c>
      <c r="B522" s="1638"/>
      <c r="C522" s="71" t="s">
        <v>3027</v>
      </c>
      <c r="D522" s="72" t="s">
        <v>2555</v>
      </c>
      <c r="E522" s="2008" t="str">
        <f t="shared" si="27"/>
        <v>da</v>
      </c>
      <c r="F522" s="54">
        <v>50</v>
      </c>
      <c r="G522" s="54" t="s">
        <v>512</v>
      </c>
      <c r="J522" s="54" t="str">
        <f t="shared" si="26"/>
        <v>daucap240in</v>
      </c>
    </row>
    <row r="523" spans="1:10" hidden="1">
      <c r="A523" s="71" t="s">
        <v>149</v>
      </c>
      <c r="B523" s="75"/>
      <c r="C523" s="71" t="s">
        <v>3028</v>
      </c>
      <c r="D523" s="72" t="s">
        <v>2555</v>
      </c>
      <c r="E523" s="2008" t="str">
        <f t="shared" si="27"/>
        <v>DC</v>
      </c>
      <c r="F523" s="54">
        <v>50</v>
      </c>
      <c r="G523" s="54" t="s">
        <v>512</v>
      </c>
      <c r="J523" s="54" t="str">
        <f t="shared" si="26"/>
        <v>DCAPHT3185</v>
      </c>
    </row>
    <row r="524" spans="1:10" hidden="1">
      <c r="A524" s="71" t="s">
        <v>1282</v>
      </c>
      <c r="B524" s="75"/>
      <c r="C524" s="71" t="s">
        <v>3029</v>
      </c>
      <c r="D524" s="72" t="s">
        <v>2555</v>
      </c>
      <c r="E524" s="2008" t="str">
        <f t="shared" si="27"/>
        <v>DC</v>
      </c>
      <c r="F524" s="54">
        <v>50</v>
      </c>
      <c r="G524" s="54" t="s">
        <v>512</v>
      </c>
      <c r="J524" s="54" t="str">
        <f t="shared" si="26"/>
        <v>DCAPHT3120</v>
      </c>
    </row>
    <row r="525" spans="1:10" hidden="1">
      <c r="A525" s="71" t="s">
        <v>1281</v>
      </c>
      <c r="B525" s="75"/>
      <c r="C525" s="71" t="s">
        <v>3030</v>
      </c>
      <c r="D525" s="72" t="s">
        <v>2555</v>
      </c>
      <c r="E525" s="2008" t="str">
        <f t="shared" si="27"/>
        <v>DC</v>
      </c>
      <c r="F525" s="54">
        <v>50</v>
      </c>
      <c r="G525" s="54" t="s">
        <v>512</v>
      </c>
      <c r="J525" s="54" t="str">
        <f t="shared" si="26"/>
        <v>DCAPHT395</v>
      </c>
    </row>
    <row r="526" spans="1:10" hidden="1">
      <c r="A526" s="71" t="s">
        <v>1632</v>
      </c>
      <c r="B526" s="75"/>
      <c r="C526" s="71" t="s">
        <v>3031</v>
      </c>
      <c r="D526" s="72" t="s">
        <v>2555</v>
      </c>
      <c r="E526" s="2008" t="str">
        <f t="shared" si="27"/>
        <v>DC</v>
      </c>
      <c r="F526" s="54">
        <v>50</v>
      </c>
      <c r="G526" s="54" t="s">
        <v>512</v>
      </c>
      <c r="J526" s="54" t="str">
        <f t="shared" si="26"/>
        <v>DCAPHT370</v>
      </c>
    </row>
    <row r="527" spans="1:10" hidden="1">
      <c r="A527" s="71" t="s">
        <v>1360</v>
      </c>
      <c r="B527" s="75"/>
      <c r="C527" s="71" t="s">
        <v>3032</v>
      </c>
      <c r="D527" s="72" t="s">
        <v>2555</v>
      </c>
      <c r="E527" s="2008" t="str">
        <f t="shared" si="27"/>
        <v>DC</v>
      </c>
      <c r="F527" s="54">
        <v>50</v>
      </c>
      <c r="G527" s="54" t="s">
        <v>512</v>
      </c>
      <c r="J527" s="54" t="str">
        <f t="shared" si="26"/>
        <v>DCAPHT350+35</v>
      </c>
    </row>
    <row r="528" spans="1:10" hidden="1">
      <c r="A528" s="71" t="s">
        <v>1846</v>
      </c>
      <c r="B528" s="75"/>
      <c r="C528" s="71" t="s">
        <v>3033</v>
      </c>
      <c r="D528" s="72" t="s">
        <v>2555</v>
      </c>
      <c r="E528" s="2008" t="str">
        <f t="shared" si="27"/>
        <v>DC</v>
      </c>
      <c r="F528" s="54">
        <v>50</v>
      </c>
      <c r="G528" s="54" t="s">
        <v>512</v>
      </c>
      <c r="J528" s="54" t="str">
        <f t="shared" si="26"/>
        <v>DCAPHT350</v>
      </c>
    </row>
    <row r="529" spans="1:10" hidden="1">
      <c r="A529" s="71" t="s">
        <v>72</v>
      </c>
      <c r="B529" s="75"/>
      <c r="C529" s="71" t="s">
        <v>3034</v>
      </c>
      <c r="D529" s="72" t="s">
        <v>2532</v>
      </c>
      <c r="E529" s="2008" t="str">
        <f t="shared" si="27"/>
        <v>st</v>
      </c>
      <c r="F529" s="54">
        <v>50</v>
      </c>
      <c r="G529" s="54" t="s">
        <v>512</v>
      </c>
      <c r="J529" s="54" t="str">
        <f t="shared" si="26"/>
        <v>stk42</v>
      </c>
    </row>
    <row r="530" spans="1:10" hidden="1">
      <c r="A530" s="71" t="s">
        <v>73</v>
      </c>
      <c r="B530" s="75"/>
      <c r="C530" s="71" t="s">
        <v>3035</v>
      </c>
      <c r="D530" s="72" t="s">
        <v>2532</v>
      </c>
      <c r="E530" s="2008" t="str">
        <f t="shared" si="27"/>
        <v>st</v>
      </c>
      <c r="F530" s="54">
        <v>50</v>
      </c>
      <c r="G530" s="54" t="s">
        <v>512</v>
      </c>
      <c r="J530" s="54" t="str">
        <f t="shared" si="26"/>
        <v>stk60</v>
      </c>
    </row>
    <row r="531" spans="1:10" hidden="1">
      <c r="A531" s="71" t="s">
        <v>1017</v>
      </c>
      <c r="B531" s="75" t="s">
        <v>1905</v>
      </c>
      <c r="C531" s="71" t="s">
        <v>3036</v>
      </c>
      <c r="D531" s="72" t="s">
        <v>2532</v>
      </c>
      <c r="E531" s="2008" t="str">
        <f t="shared" si="27"/>
        <v>st</v>
      </c>
      <c r="F531" s="54">
        <v>50</v>
      </c>
      <c r="G531" s="54" t="s">
        <v>512</v>
      </c>
      <c r="J531" s="54" t="str">
        <f t="shared" si="26"/>
        <v>stk90</v>
      </c>
    </row>
    <row r="532" spans="1:10" hidden="1">
      <c r="A532" s="71" t="s">
        <v>2217</v>
      </c>
      <c r="B532" s="75" t="s">
        <v>1905</v>
      </c>
      <c r="C532" s="71" t="s">
        <v>3037</v>
      </c>
      <c r="D532" s="72" t="s">
        <v>2532</v>
      </c>
      <c r="E532" s="2008" t="str">
        <f t="shared" si="27"/>
        <v>st</v>
      </c>
      <c r="F532" s="54">
        <v>50</v>
      </c>
      <c r="G532" s="54" t="s">
        <v>512</v>
      </c>
      <c r="J532" s="54" t="str">
        <f t="shared" si="26"/>
        <v>stk114</v>
      </c>
    </row>
    <row r="533" spans="1:10" hidden="1">
      <c r="A533" s="71" t="s">
        <v>623</v>
      </c>
      <c r="B533" s="75" t="s">
        <v>1905</v>
      </c>
      <c r="C533" s="71" t="s">
        <v>3038</v>
      </c>
      <c r="D533" s="72" t="s">
        <v>2532</v>
      </c>
      <c r="E533" s="2008" t="str">
        <f t="shared" si="27"/>
        <v>st</v>
      </c>
      <c r="F533" s="54">
        <v>50</v>
      </c>
      <c r="G533" s="54" t="s">
        <v>512</v>
      </c>
      <c r="J533" s="54" t="str">
        <f t="shared" si="26"/>
        <v>stk140</v>
      </c>
    </row>
    <row r="534" spans="1:10" hidden="1">
      <c r="A534" s="71" t="s">
        <v>914</v>
      </c>
      <c r="B534" s="75" t="s">
        <v>1905</v>
      </c>
      <c r="C534" s="71" t="s">
        <v>3039</v>
      </c>
      <c r="D534" s="72" t="s">
        <v>2532</v>
      </c>
      <c r="E534" s="2008" t="str">
        <f t="shared" si="27"/>
        <v>st</v>
      </c>
      <c r="F534" s="54">
        <v>50</v>
      </c>
      <c r="G534" s="54" t="s">
        <v>512</v>
      </c>
      <c r="J534" s="54" t="str">
        <f t="shared" si="26"/>
        <v>stk160</v>
      </c>
    </row>
    <row r="535" spans="1:10" hidden="1">
      <c r="A535" s="71" t="s">
        <v>38</v>
      </c>
      <c r="B535" s="75" t="s">
        <v>1905</v>
      </c>
      <c r="C535" s="71" t="s">
        <v>3040</v>
      </c>
      <c r="D535" s="72" t="s">
        <v>2532</v>
      </c>
      <c r="E535" s="2008" t="str">
        <f t="shared" si="27"/>
        <v>st</v>
      </c>
      <c r="F535" s="54">
        <v>50</v>
      </c>
      <c r="G535" s="54" t="s">
        <v>512</v>
      </c>
      <c r="J535" s="54" t="str">
        <f t="shared" ref="J535:J598" si="28">A535</f>
        <v>stk168</v>
      </c>
    </row>
    <row r="536" spans="1:10" hidden="1">
      <c r="A536" s="71" t="s">
        <v>1018</v>
      </c>
      <c r="B536" s="75"/>
      <c r="C536" s="71" t="s">
        <v>3041</v>
      </c>
      <c r="D536" s="72" t="s">
        <v>2555</v>
      </c>
      <c r="E536" s="2008" t="str">
        <f t="shared" si="27"/>
        <v>co</v>
      </c>
      <c r="F536" s="54">
        <v>50</v>
      </c>
      <c r="G536" s="54" t="s">
        <v>512</v>
      </c>
      <c r="J536" s="54" t="str">
        <f t="shared" si="28"/>
        <v>costk114</v>
      </c>
    </row>
    <row r="537" spans="1:10" hidden="1">
      <c r="A537" s="71" t="s">
        <v>670</v>
      </c>
      <c r="B537" s="1638"/>
      <c r="C537" s="71" t="s">
        <v>3042</v>
      </c>
      <c r="D537" s="72" t="s">
        <v>2555</v>
      </c>
      <c r="E537" s="2008" t="str">
        <f t="shared" si="27"/>
        <v>co</v>
      </c>
      <c r="F537" s="54">
        <v>50</v>
      </c>
      <c r="G537" s="54" t="s">
        <v>512</v>
      </c>
      <c r="J537" s="54" t="str">
        <f t="shared" si="28"/>
        <v>costk90</v>
      </c>
    </row>
    <row r="538" spans="1:10" hidden="1">
      <c r="A538" s="71" t="s">
        <v>2000</v>
      </c>
      <c r="B538" s="1638"/>
      <c r="C538" s="71" t="s">
        <v>3043</v>
      </c>
      <c r="D538" s="72" t="s">
        <v>2555</v>
      </c>
      <c r="E538" s="2008" t="str">
        <f t="shared" si="27"/>
        <v>YC</v>
      </c>
      <c r="F538" s="54">
        <v>50</v>
      </c>
      <c r="G538" s="54" t="s">
        <v>512</v>
      </c>
      <c r="J538" s="54" t="str">
        <f t="shared" si="28"/>
        <v>YC</v>
      </c>
    </row>
    <row r="539" spans="1:10" hidden="1">
      <c r="A539" s="1637" t="s">
        <v>4995</v>
      </c>
      <c r="C539" s="1637" t="s">
        <v>4996</v>
      </c>
      <c r="D539" s="72" t="s">
        <v>2555</v>
      </c>
      <c r="E539" s="2008" t="str">
        <f t="shared" si="27"/>
        <v>DB</v>
      </c>
      <c r="F539" s="54">
        <v>50</v>
      </c>
      <c r="J539" s="54" t="str">
        <f t="shared" si="28"/>
        <v>DBCST</v>
      </c>
    </row>
    <row r="540" spans="1:10" hidden="1">
      <c r="A540" s="1637" t="s">
        <v>4997</v>
      </c>
      <c r="C540" s="1637" t="s">
        <v>4998</v>
      </c>
      <c r="D540" s="72" t="s">
        <v>2555</v>
      </c>
      <c r="E540" s="2008" t="str">
        <f t="shared" si="27"/>
        <v>DB</v>
      </c>
      <c r="F540" s="54">
        <v>50</v>
      </c>
      <c r="J540" s="54" t="str">
        <f t="shared" si="28"/>
        <v>DBCSG</v>
      </c>
    </row>
    <row r="541" spans="1:10" hidden="1">
      <c r="A541" s="1655" t="str">
        <f>"ssf-"&amp;H541</f>
        <v>ssf-50</v>
      </c>
      <c r="C541" s="1655" t="str">
        <f>"Dây buộc cổ sứ cỡ dây "&amp;H541&amp;"mm2"</f>
        <v>Dây buộc cổ sứ cỡ dây 50mm2</v>
      </c>
      <c r="D541" s="72" t="s">
        <v>2555</v>
      </c>
      <c r="E541" s="2008" t="str">
        <f t="shared" si="27"/>
        <v>ss</v>
      </c>
      <c r="F541" s="54">
        <v>50</v>
      </c>
      <c r="H541" s="54">
        <v>50</v>
      </c>
      <c r="J541" s="54" t="str">
        <f t="shared" si="28"/>
        <v>ssf-50</v>
      </c>
    </row>
    <row r="542" spans="1:10" hidden="1">
      <c r="A542" s="1637" t="s">
        <v>4987</v>
      </c>
      <c r="C542" s="1637" t="s">
        <v>4980</v>
      </c>
      <c r="D542" s="72" t="s">
        <v>2555</v>
      </c>
      <c r="E542" s="2008" t="str">
        <f t="shared" si="27"/>
        <v>ke</v>
      </c>
      <c r="F542" s="54">
        <v>50</v>
      </c>
      <c r="J542" s="54" t="str">
        <f t="shared" si="28"/>
        <v>ke189</v>
      </c>
    </row>
    <row r="543" spans="1:10" hidden="1">
      <c r="A543" s="1650" t="s">
        <v>2603</v>
      </c>
      <c r="B543" s="1651" t="s">
        <v>2604</v>
      </c>
      <c r="C543" s="1650" t="s">
        <v>3044</v>
      </c>
      <c r="D543" s="1652" t="s">
        <v>2606</v>
      </c>
      <c r="E543" s="2008" t="str">
        <f t="shared" si="27"/>
        <v>Mã</v>
      </c>
      <c r="F543" s="54">
        <v>50</v>
      </c>
      <c r="J543" s="54" t="str">
        <f t="shared" si="28"/>
        <v>Mã</v>
      </c>
    </row>
    <row r="544" spans="1:10" hidden="1">
      <c r="A544" s="1650">
        <v>1</v>
      </c>
      <c r="B544" s="1651">
        <v>2</v>
      </c>
      <c r="C544" s="1650">
        <v>3</v>
      </c>
      <c r="D544" s="1652">
        <v>4</v>
      </c>
      <c r="E544" s="2008" t="str">
        <f t="shared" si="27"/>
        <v>1</v>
      </c>
      <c r="F544" s="54">
        <v>50</v>
      </c>
      <c r="J544" s="54">
        <f t="shared" si="28"/>
        <v>1</v>
      </c>
    </row>
    <row r="545" spans="1:10" hidden="1">
      <c r="A545" s="1639" t="s">
        <v>957</v>
      </c>
      <c r="B545" s="75" t="s">
        <v>454</v>
      </c>
      <c r="C545" s="71" t="s">
        <v>3045</v>
      </c>
      <c r="D545" s="72" t="s">
        <v>856</v>
      </c>
      <c r="E545" s="2008" t="str">
        <f t="shared" si="27"/>
        <v>MD</v>
      </c>
      <c r="F545" s="54">
        <v>2000</v>
      </c>
      <c r="J545" s="54" t="str">
        <f t="shared" si="28"/>
        <v>MDDA1</v>
      </c>
    </row>
    <row r="546" spans="1:10" hidden="1">
      <c r="A546" s="1639" t="s">
        <v>453</v>
      </c>
      <c r="B546" s="75" t="s">
        <v>454</v>
      </c>
      <c r="C546" s="71" t="s">
        <v>3046</v>
      </c>
      <c r="D546" s="72" t="s">
        <v>856</v>
      </c>
      <c r="E546" s="2008" t="str">
        <f t="shared" si="27"/>
        <v>MD</v>
      </c>
      <c r="F546" s="54">
        <v>2000</v>
      </c>
      <c r="J546" s="54" t="str">
        <f t="shared" si="28"/>
        <v>MDDA2</v>
      </c>
    </row>
    <row r="547" spans="1:10" hidden="1">
      <c r="A547" s="1639" t="s">
        <v>583</v>
      </c>
      <c r="B547" s="75" t="s">
        <v>545</v>
      </c>
      <c r="C547" s="71" t="s">
        <v>3047</v>
      </c>
      <c r="D547" s="72" t="s">
        <v>856</v>
      </c>
      <c r="E547" s="2008" t="str">
        <f t="shared" si="27"/>
        <v>MD</v>
      </c>
      <c r="F547" s="54">
        <v>2000</v>
      </c>
      <c r="J547" s="54" t="str">
        <f t="shared" si="28"/>
        <v>MDD11</v>
      </c>
    </row>
    <row r="548" spans="1:10" hidden="1">
      <c r="A548" s="71" t="s">
        <v>1987</v>
      </c>
      <c r="B548" s="75" t="s">
        <v>2118</v>
      </c>
      <c r="C548" s="71" t="s">
        <v>3048</v>
      </c>
      <c r="D548" s="72" t="s">
        <v>856</v>
      </c>
      <c r="E548" s="2008" t="str">
        <f t="shared" si="27"/>
        <v>MD</v>
      </c>
      <c r="F548" s="54">
        <v>2000</v>
      </c>
      <c r="J548" s="54" t="str">
        <f t="shared" si="28"/>
        <v>MDD21</v>
      </c>
    </row>
    <row r="549" spans="1:10" hidden="1">
      <c r="A549" s="1639" t="s">
        <v>820</v>
      </c>
      <c r="B549" s="75" t="s">
        <v>599</v>
      </c>
      <c r="C549" s="71" t="s">
        <v>3049</v>
      </c>
      <c r="D549" s="72" t="s">
        <v>856</v>
      </c>
      <c r="E549" s="2008" t="str">
        <f t="shared" si="27"/>
        <v>MD</v>
      </c>
      <c r="F549" s="54">
        <v>2000</v>
      </c>
      <c r="J549" s="54" t="str">
        <f t="shared" si="28"/>
        <v>MDD31</v>
      </c>
    </row>
    <row r="550" spans="1:10" hidden="1">
      <c r="A550" s="1639" t="s">
        <v>527</v>
      </c>
      <c r="B550" s="75" t="s">
        <v>296</v>
      </c>
      <c r="C550" s="71" t="s">
        <v>3050</v>
      </c>
      <c r="D550" s="72" t="s">
        <v>856</v>
      </c>
      <c r="E550" s="2008" t="str">
        <f t="shared" si="27"/>
        <v>MD</v>
      </c>
      <c r="F550" s="54">
        <v>2000</v>
      </c>
      <c r="J550" s="54" t="str">
        <f t="shared" si="28"/>
        <v>MDD41</v>
      </c>
    </row>
    <row r="551" spans="1:10" hidden="1">
      <c r="A551" s="1639" t="s">
        <v>976</v>
      </c>
      <c r="B551" s="75" t="s">
        <v>1986</v>
      </c>
      <c r="C551" s="71" t="s">
        <v>3051</v>
      </c>
      <c r="D551" s="72" t="s">
        <v>856</v>
      </c>
      <c r="E551" s="2008" t="str">
        <f t="shared" si="27"/>
        <v>MD</v>
      </c>
      <c r="F551" s="54">
        <v>2000</v>
      </c>
      <c r="J551" s="54" t="str">
        <f t="shared" si="28"/>
        <v>MDD2</v>
      </c>
    </row>
    <row r="552" spans="1:10" hidden="1">
      <c r="A552" s="1639" t="s">
        <v>639</v>
      </c>
      <c r="B552" s="1653" t="s">
        <v>1747</v>
      </c>
      <c r="C552" s="71" t="s">
        <v>4920</v>
      </c>
      <c r="D552" s="72" t="s">
        <v>856</v>
      </c>
      <c r="E552" s="2008" t="str">
        <f t="shared" si="27"/>
        <v>MD</v>
      </c>
      <c r="F552" s="54">
        <v>3000</v>
      </c>
      <c r="J552" s="54" t="str">
        <f t="shared" si="28"/>
        <v>MDD3</v>
      </c>
    </row>
    <row r="553" spans="1:10" hidden="1">
      <c r="A553" s="71" t="s">
        <v>1226</v>
      </c>
      <c r="B553" s="75" t="s">
        <v>707</v>
      </c>
      <c r="C553" s="71" t="s">
        <v>3052</v>
      </c>
      <c r="D553" s="72" t="s">
        <v>856</v>
      </c>
      <c r="E553" s="2008" t="str">
        <f t="shared" si="27"/>
        <v>AH</v>
      </c>
      <c r="F553" s="54">
        <v>2000</v>
      </c>
      <c r="J553" s="54" t="str">
        <f t="shared" si="28"/>
        <v>AH2120</v>
      </c>
    </row>
    <row r="554" spans="1:10" hidden="1">
      <c r="A554" s="1639" t="s">
        <v>1392</v>
      </c>
      <c r="B554" s="75" t="s">
        <v>1393</v>
      </c>
      <c r="C554" s="71" t="s">
        <v>3053</v>
      </c>
      <c r="D554" s="72" t="s">
        <v>856</v>
      </c>
      <c r="E554" s="2008" t="str">
        <f t="shared" si="27"/>
        <v>MD</v>
      </c>
      <c r="F554" s="54">
        <v>2000</v>
      </c>
      <c r="J554" s="54" t="str">
        <f t="shared" si="28"/>
        <v>MDD4</v>
      </c>
    </row>
    <row r="555" spans="1:10" hidden="1">
      <c r="A555" s="1639" t="s">
        <v>127</v>
      </c>
      <c r="B555" s="75" t="s">
        <v>676</v>
      </c>
      <c r="C555" s="71" t="s">
        <v>3054</v>
      </c>
      <c r="D555" s="72" t="s">
        <v>856</v>
      </c>
      <c r="E555" s="2008" t="str">
        <f t="shared" si="27"/>
        <v>MD</v>
      </c>
      <c r="F555" s="54">
        <v>2000</v>
      </c>
      <c r="J555" s="54" t="str">
        <f t="shared" si="28"/>
        <v>MDAP1</v>
      </c>
    </row>
    <row r="556" spans="1:10" hidden="1">
      <c r="A556" s="1639" t="s">
        <v>677</v>
      </c>
      <c r="B556" s="75" t="s">
        <v>678</v>
      </c>
      <c r="C556" s="71" t="s">
        <v>3055</v>
      </c>
      <c r="D556" s="72" t="s">
        <v>856</v>
      </c>
      <c r="E556" s="2008" t="str">
        <f t="shared" si="27"/>
        <v>MD</v>
      </c>
      <c r="F556" s="54">
        <v>2000</v>
      </c>
      <c r="J556" s="54" t="str">
        <f t="shared" si="28"/>
        <v>MDAP2</v>
      </c>
    </row>
    <row r="557" spans="1:10" hidden="1">
      <c r="A557" s="1639" t="s">
        <v>21</v>
      </c>
      <c r="B557" s="1653" t="s">
        <v>1748</v>
      </c>
      <c r="C557" s="71" t="s">
        <v>3056</v>
      </c>
      <c r="D557" s="72" t="s">
        <v>856</v>
      </c>
      <c r="E557" s="2008" t="str">
        <f t="shared" si="27"/>
        <v>MD</v>
      </c>
      <c r="F557" s="54">
        <v>2000</v>
      </c>
      <c r="J557" s="54" t="str">
        <f t="shared" si="28"/>
        <v>MDAP3</v>
      </c>
    </row>
    <row r="558" spans="1:10" hidden="1">
      <c r="A558" s="1639" t="s">
        <v>1826</v>
      </c>
      <c r="B558" s="75" t="s">
        <v>22</v>
      </c>
      <c r="C558" s="71" t="s">
        <v>3057</v>
      </c>
      <c r="D558" s="72" t="s">
        <v>856</v>
      </c>
      <c r="E558" s="2008" t="str">
        <f t="shared" ref="E558:E620" si="29">LEFT(A558,2)</f>
        <v>MD</v>
      </c>
      <c r="F558" s="54">
        <v>2000</v>
      </c>
      <c r="J558" s="54" t="str">
        <f t="shared" si="28"/>
        <v>MDAP4</v>
      </c>
    </row>
    <row r="559" spans="1:10" hidden="1">
      <c r="A559" s="71" t="s">
        <v>143</v>
      </c>
      <c r="B559" s="75" t="s">
        <v>25</v>
      </c>
      <c r="C559" s="71" t="s">
        <v>3058</v>
      </c>
      <c r="D559" s="72" t="s">
        <v>856</v>
      </c>
      <c r="E559" s="2008" t="str">
        <f t="shared" si="29"/>
        <v>DM</v>
      </c>
      <c r="F559" s="54">
        <v>2000</v>
      </c>
      <c r="J559" s="54" t="str">
        <f t="shared" si="28"/>
        <v>DMC2</v>
      </c>
    </row>
    <row r="560" spans="1:10" hidden="1">
      <c r="A560" s="71" t="s">
        <v>144</v>
      </c>
      <c r="B560" s="75" t="s">
        <v>795</v>
      </c>
      <c r="C560" s="71" t="s">
        <v>3059</v>
      </c>
      <c r="D560" s="72" t="s">
        <v>856</v>
      </c>
      <c r="E560" s="2008" t="str">
        <f t="shared" si="29"/>
        <v>DM</v>
      </c>
      <c r="F560" s="54">
        <v>2000</v>
      </c>
      <c r="J560" s="54" t="str">
        <f t="shared" si="28"/>
        <v>DMC3</v>
      </c>
    </row>
    <row r="561" spans="1:10" hidden="1">
      <c r="A561" s="71" t="s">
        <v>145</v>
      </c>
      <c r="B561" s="75" t="s">
        <v>600</v>
      </c>
      <c r="C561" s="71" t="s">
        <v>3060</v>
      </c>
      <c r="D561" s="72" t="s">
        <v>856</v>
      </c>
      <c r="E561" s="2008" t="str">
        <f t="shared" si="29"/>
        <v>DM</v>
      </c>
      <c r="F561" s="54">
        <v>2000</v>
      </c>
      <c r="J561" s="54" t="str">
        <f t="shared" si="28"/>
        <v>DMC4</v>
      </c>
    </row>
    <row r="562" spans="1:10" hidden="1">
      <c r="A562" s="71" t="s">
        <v>528</v>
      </c>
      <c r="B562" s="75" t="s">
        <v>797</v>
      </c>
      <c r="C562" s="71" t="s">
        <v>3061</v>
      </c>
      <c r="D562" s="72" t="s">
        <v>856</v>
      </c>
      <c r="E562" s="2008" t="str">
        <f t="shared" si="29"/>
        <v>DD</v>
      </c>
      <c r="F562" s="54">
        <v>2000</v>
      </c>
      <c r="J562" s="54" t="str">
        <f t="shared" si="28"/>
        <v>DDMC2</v>
      </c>
    </row>
    <row r="563" spans="1:10" hidden="1">
      <c r="A563" s="71" t="s">
        <v>529</v>
      </c>
      <c r="B563" s="75" t="s">
        <v>799</v>
      </c>
      <c r="C563" s="71" t="s">
        <v>3062</v>
      </c>
      <c r="D563" s="72" t="s">
        <v>856</v>
      </c>
      <c r="E563" s="2008" t="str">
        <f t="shared" si="29"/>
        <v>DD</v>
      </c>
      <c r="F563" s="54">
        <v>2000</v>
      </c>
      <c r="J563" s="54" t="str">
        <f t="shared" si="28"/>
        <v>DDMC3</v>
      </c>
    </row>
    <row r="564" spans="1:10" hidden="1">
      <c r="A564" s="71" t="s">
        <v>530</v>
      </c>
      <c r="B564" s="75" t="s">
        <v>799</v>
      </c>
      <c r="C564" s="71" t="s">
        <v>3063</v>
      </c>
      <c r="D564" s="72" t="s">
        <v>856</v>
      </c>
      <c r="E564" s="2008" t="str">
        <f t="shared" si="29"/>
        <v>DD</v>
      </c>
      <c r="F564" s="54">
        <v>2000</v>
      </c>
      <c r="J564" s="54" t="str">
        <f t="shared" si="28"/>
        <v>DDMC4</v>
      </c>
    </row>
    <row r="565" spans="1:10" hidden="1">
      <c r="A565" s="71" t="s">
        <v>23</v>
      </c>
      <c r="B565" s="75" t="s">
        <v>846</v>
      </c>
      <c r="C565" s="71" t="s">
        <v>3064</v>
      </c>
      <c r="D565" s="72" t="s">
        <v>856</v>
      </c>
      <c r="E565" s="2008" t="str">
        <f t="shared" si="29"/>
        <v>DC</v>
      </c>
      <c r="F565" s="54">
        <v>2000</v>
      </c>
      <c r="J565" s="54" t="str">
        <f t="shared" si="28"/>
        <v>DCAT</v>
      </c>
    </row>
    <row r="566" spans="1:10" hidden="1">
      <c r="A566" s="71" t="s">
        <v>1111</v>
      </c>
      <c r="B566" s="75" t="s">
        <v>846</v>
      </c>
      <c r="C566" s="71" t="s">
        <v>3065</v>
      </c>
      <c r="D566" s="72" t="s">
        <v>856</v>
      </c>
      <c r="E566" s="2008" t="str">
        <f t="shared" si="29"/>
        <v>DD</v>
      </c>
      <c r="F566" s="54">
        <v>2000</v>
      </c>
      <c r="J566" s="54" t="str">
        <f t="shared" si="28"/>
        <v>DD1x2</v>
      </c>
    </row>
    <row r="567" spans="1:10" hidden="1">
      <c r="A567" s="71" t="s">
        <v>1106</v>
      </c>
      <c r="B567" s="75" t="s">
        <v>846</v>
      </c>
      <c r="C567" s="71" t="s">
        <v>3066</v>
      </c>
      <c r="D567" s="72" t="s">
        <v>856</v>
      </c>
      <c r="E567" s="2008" t="str">
        <f t="shared" si="29"/>
        <v>DD</v>
      </c>
      <c r="F567" s="54">
        <v>2000</v>
      </c>
      <c r="J567" s="54" t="str">
        <f t="shared" si="28"/>
        <v>DD2x4</v>
      </c>
    </row>
    <row r="568" spans="1:10" hidden="1">
      <c r="A568" s="71" t="s">
        <v>24</v>
      </c>
      <c r="B568" s="75" t="s">
        <v>25</v>
      </c>
      <c r="C568" s="71" t="s">
        <v>3067</v>
      </c>
      <c r="D568" s="72" t="s">
        <v>856</v>
      </c>
      <c r="E568" s="2008" t="str">
        <f t="shared" si="29"/>
        <v>DT</v>
      </c>
      <c r="F568" s="54">
        <v>2000</v>
      </c>
      <c r="J568" s="54" t="str">
        <f t="shared" si="28"/>
        <v>DTD2</v>
      </c>
    </row>
    <row r="569" spans="1:10" hidden="1">
      <c r="A569" s="71" t="s">
        <v>794</v>
      </c>
      <c r="B569" s="75" t="s">
        <v>1752</v>
      </c>
      <c r="C569" s="71" t="s">
        <v>3068</v>
      </c>
      <c r="D569" s="72" t="s">
        <v>856</v>
      </c>
      <c r="E569" s="2008" t="str">
        <f t="shared" si="29"/>
        <v>DT</v>
      </c>
      <c r="F569" s="54">
        <v>2000</v>
      </c>
      <c r="J569" s="54" t="str">
        <f t="shared" si="28"/>
        <v>DTD3</v>
      </c>
    </row>
    <row r="570" spans="1:10" hidden="1">
      <c r="A570" s="71" t="s">
        <v>1854</v>
      </c>
      <c r="B570" s="75" t="s">
        <v>795</v>
      </c>
      <c r="C570" s="71" t="s">
        <v>3069</v>
      </c>
      <c r="D570" s="72" t="s">
        <v>856</v>
      </c>
      <c r="E570" s="2008" t="str">
        <f t="shared" si="29"/>
        <v>DT</v>
      </c>
      <c r="F570" s="54">
        <v>2000</v>
      </c>
      <c r="J570" s="54" t="str">
        <f t="shared" si="28"/>
        <v>DTD4</v>
      </c>
    </row>
    <row r="571" spans="1:10" hidden="1">
      <c r="A571" s="71" t="s">
        <v>796</v>
      </c>
      <c r="B571" s="75" t="s">
        <v>797</v>
      </c>
      <c r="C571" s="71" t="s">
        <v>3070</v>
      </c>
      <c r="D571" s="72" t="s">
        <v>856</v>
      </c>
      <c r="E571" s="2008" t="str">
        <f t="shared" si="29"/>
        <v>DA</v>
      </c>
      <c r="F571" s="54">
        <v>2000</v>
      </c>
      <c r="J571" s="54" t="str">
        <f t="shared" si="28"/>
        <v>DATD2</v>
      </c>
    </row>
    <row r="572" spans="1:10" hidden="1">
      <c r="A572" s="71" t="s">
        <v>798</v>
      </c>
      <c r="B572" s="75" t="s">
        <v>1753</v>
      </c>
      <c r="C572" s="71" t="s">
        <v>4856</v>
      </c>
      <c r="D572" s="72" t="s">
        <v>856</v>
      </c>
      <c r="E572" s="2008" t="str">
        <f t="shared" si="29"/>
        <v>DA</v>
      </c>
      <c r="F572" s="54">
        <v>2000</v>
      </c>
      <c r="J572" s="54" t="str">
        <f t="shared" si="28"/>
        <v>DATD3</v>
      </c>
    </row>
    <row r="573" spans="1:10" hidden="1">
      <c r="A573" s="71" t="s">
        <v>1853</v>
      </c>
      <c r="B573" s="75" t="s">
        <v>799</v>
      </c>
      <c r="C573" s="71" t="s">
        <v>3071</v>
      </c>
      <c r="D573" s="72" t="s">
        <v>856</v>
      </c>
      <c r="E573" s="2008" t="str">
        <f t="shared" si="29"/>
        <v>DA</v>
      </c>
      <c r="F573" s="54">
        <v>2000</v>
      </c>
      <c r="J573" s="54" t="str">
        <f t="shared" si="28"/>
        <v>DATD4</v>
      </c>
    </row>
    <row r="574" spans="1:10" hidden="1">
      <c r="A574" s="71" t="s">
        <v>2020</v>
      </c>
      <c r="B574" s="75" t="s">
        <v>691</v>
      </c>
      <c r="C574" s="73" t="s">
        <v>4399</v>
      </c>
      <c r="D574" s="72" t="s">
        <v>2439</v>
      </c>
      <c r="E574" s="2008" t="str">
        <f t="shared" si="29"/>
        <v>LG</v>
      </c>
      <c r="F574" s="54">
        <v>2000</v>
      </c>
      <c r="J574" s="54" t="str">
        <f t="shared" si="28"/>
        <v>LGIA</v>
      </c>
    </row>
    <row r="575" spans="1:10" hidden="1">
      <c r="A575" s="71" t="s">
        <v>2124</v>
      </c>
      <c r="B575" s="1638" t="s">
        <v>1455</v>
      </c>
      <c r="C575" s="73" t="s">
        <v>3072</v>
      </c>
      <c r="D575" s="72" t="s">
        <v>2439</v>
      </c>
      <c r="E575" s="2008" t="str">
        <f t="shared" si="29"/>
        <v>la</v>
      </c>
      <c r="F575" s="54">
        <v>2000</v>
      </c>
      <c r="J575" s="54" t="str">
        <f t="shared" si="28"/>
        <v>lapkep</v>
      </c>
    </row>
    <row r="576" spans="1:10" hidden="1">
      <c r="A576" s="71" t="s">
        <v>1103</v>
      </c>
      <c r="B576" s="75" t="s">
        <v>85</v>
      </c>
      <c r="C576" s="71" t="s">
        <v>3073</v>
      </c>
      <c r="D576" s="72" t="s">
        <v>3006</v>
      </c>
      <c r="E576" s="2008" t="str">
        <f t="shared" si="29"/>
        <v>LG</v>
      </c>
      <c r="F576" s="54">
        <v>2000</v>
      </c>
      <c r="J576" s="54" t="str">
        <f t="shared" si="28"/>
        <v>LGACH</v>
      </c>
    </row>
    <row r="577" spans="1:10" hidden="1">
      <c r="A577" s="71" t="s">
        <v>662</v>
      </c>
      <c r="B577" s="75"/>
      <c r="C577" s="71" t="s">
        <v>3074</v>
      </c>
      <c r="D577" s="72" t="s">
        <v>856</v>
      </c>
      <c r="E577" s="2008" t="str">
        <f t="shared" si="29"/>
        <v>LN</v>
      </c>
      <c r="F577" s="54">
        <v>2000</v>
      </c>
      <c r="J577" s="54" t="str">
        <f t="shared" si="28"/>
        <v>LNLON</v>
      </c>
    </row>
    <row r="578" spans="1:10" hidden="1">
      <c r="A578" s="71" t="s">
        <v>624</v>
      </c>
      <c r="B578" s="75" t="s">
        <v>220</v>
      </c>
      <c r="C578" s="71" t="s">
        <v>3075</v>
      </c>
      <c r="D578" s="72" t="s">
        <v>2555</v>
      </c>
      <c r="E578" s="2008" t="str">
        <f t="shared" si="29"/>
        <v>M1</v>
      </c>
      <c r="F578" s="54">
        <v>2000</v>
      </c>
      <c r="J578" s="54" t="str">
        <f t="shared" si="28"/>
        <v>M15</v>
      </c>
    </row>
    <row r="579" spans="1:10" hidden="1">
      <c r="A579" s="71" t="s">
        <v>1048</v>
      </c>
      <c r="B579" s="75" t="s">
        <v>1558</v>
      </c>
      <c r="C579" s="71" t="s">
        <v>3076</v>
      </c>
      <c r="D579" s="72" t="s">
        <v>2555</v>
      </c>
      <c r="E579" s="2008" t="str">
        <f t="shared" si="29"/>
        <v>MD</v>
      </c>
      <c r="F579" s="54">
        <v>2000</v>
      </c>
      <c r="J579" s="54" t="str">
        <f t="shared" si="28"/>
        <v>MD25</v>
      </c>
    </row>
    <row r="580" spans="1:10" hidden="1">
      <c r="A580" s="71" t="s">
        <v>978</v>
      </c>
      <c r="B580" s="75" t="s">
        <v>1559</v>
      </c>
      <c r="C580" s="71" t="s">
        <v>3077</v>
      </c>
      <c r="D580" s="72" t="s">
        <v>2590</v>
      </c>
      <c r="E580" s="2008" t="str">
        <f t="shared" si="29"/>
        <v>DC</v>
      </c>
      <c r="F580" s="54">
        <v>2000</v>
      </c>
      <c r="J580" s="54" t="str">
        <f t="shared" si="28"/>
        <v>DCT25</v>
      </c>
    </row>
    <row r="581" spans="1:10" hidden="1">
      <c r="A581" s="71" t="s">
        <v>991</v>
      </c>
      <c r="B581" s="75" t="s">
        <v>1559</v>
      </c>
      <c r="C581" s="71" t="s">
        <v>3078</v>
      </c>
      <c r="D581" s="72" t="s">
        <v>2590</v>
      </c>
      <c r="E581" s="2008" t="str">
        <f t="shared" si="29"/>
        <v>DC</v>
      </c>
      <c r="F581" s="54">
        <v>2000</v>
      </c>
      <c r="J581" s="54" t="str">
        <f t="shared" si="28"/>
        <v>DCT30</v>
      </c>
    </row>
    <row r="582" spans="1:10" hidden="1">
      <c r="A582" s="71" t="s">
        <v>445</v>
      </c>
      <c r="B582" s="75" t="s">
        <v>1559</v>
      </c>
      <c r="C582" s="71" t="s">
        <v>3079</v>
      </c>
      <c r="D582" s="72" t="s">
        <v>2590</v>
      </c>
      <c r="E582" s="2008" t="str">
        <f t="shared" si="29"/>
        <v>DC</v>
      </c>
      <c r="F582" s="54">
        <v>2000</v>
      </c>
      <c r="J582" s="54" t="str">
        <f t="shared" si="28"/>
        <v>DCT50</v>
      </c>
    </row>
    <row r="583" spans="1:10" hidden="1">
      <c r="A583" s="71" t="s">
        <v>152</v>
      </c>
      <c r="B583" s="75" t="s">
        <v>153</v>
      </c>
      <c r="C583" s="71" t="s">
        <v>3080</v>
      </c>
      <c r="D583" s="72" t="s">
        <v>1960</v>
      </c>
      <c r="E583" s="2008" t="str">
        <f t="shared" si="29"/>
        <v>QB</v>
      </c>
      <c r="F583" s="54">
        <v>2000</v>
      </c>
      <c r="J583" s="54" t="str">
        <f t="shared" si="28"/>
        <v>QBT</v>
      </c>
    </row>
    <row r="584" spans="1:10">
      <c r="A584" s="71" t="s">
        <v>37</v>
      </c>
      <c r="B584" s="75" t="s">
        <v>556</v>
      </c>
      <c r="C584" s="71" t="s">
        <v>2583</v>
      </c>
      <c r="D584" s="72" t="s">
        <v>2442</v>
      </c>
      <c r="E584" s="2008" t="str">
        <f t="shared" si="29"/>
        <v>VC</v>
      </c>
      <c r="F584" s="54">
        <v>2000</v>
      </c>
      <c r="J584" s="54" t="str">
        <f t="shared" si="28"/>
        <v>VCDA1</v>
      </c>
    </row>
    <row r="585" spans="1:10" hidden="1">
      <c r="A585" s="71" t="s">
        <v>1820</v>
      </c>
      <c r="B585" s="75" t="s">
        <v>1821</v>
      </c>
      <c r="C585" s="71" t="s">
        <v>3081</v>
      </c>
      <c r="D585" s="72" t="s">
        <v>2442</v>
      </c>
      <c r="E585" s="2008" t="str">
        <f t="shared" si="29"/>
        <v>VC</v>
      </c>
      <c r="F585" s="54">
        <v>2000</v>
      </c>
      <c r="J585" s="54" t="str">
        <f t="shared" si="28"/>
        <v>VCDA2</v>
      </c>
    </row>
    <row r="586" spans="1:10" hidden="1">
      <c r="A586" s="71" t="s">
        <v>192</v>
      </c>
      <c r="B586" s="75" t="s">
        <v>193</v>
      </c>
      <c r="C586" s="71" t="s">
        <v>3082</v>
      </c>
      <c r="D586" s="72" t="s">
        <v>2442</v>
      </c>
      <c r="E586" s="2008" t="str">
        <f t="shared" si="29"/>
        <v>VC</v>
      </c>
      <c r="F586" s="54">
        <v>2000</v>
      </c>
      <c r="J586" s="54" t="str">
        <f t="shared" si="28"/>
        <v>VCDA3</v>
      </c>
    </row>
    <row r="587" spans="1:10" hidden="1">
      <c r="A587" s="71" t="s">
        <v>343</v>
      </c>
      <c r="B587" s="75" t="s">
        <v>1095</v>
      </c>
      <c r="C587" s="71" t="s">
        <v>3083</v>
      </c>
      <c r="D587" s="72" t="s">
        <v>2442</v>
      </c>
      <c r="E587" s="2008" t="str">
        <f t="shared" si="29"/>
        <v>VC</v>
      </c>
      <c r="F587" s="54">
        <v>2000</v>
      </c>
      <c r="J587" s="54" t="str">
        <f t="shared" si="28"/>
        <v>VCDA4</v>
      </c>
    </row>
    <row r="588" spans="1:10">
      <c r="A588" s="71" t="s">
        <v>1631</v>
      </c>
      <c r="B588" s="75" t="s">
        <v>556</v>
      </c>
      <c r="C588" s="71" t="s">
        <v>2585</v>
      </c>
      <c r="D588" s="72" t="s">
        <v>2442</v>
      </c>
      <c r="E588" s="2008" t="str">
        <f t="shared" si="29"/>
        <v>VC</v>
      </c>
      <c r="F588" s="54">
        <v>2000</v>
      </c>
      <c r="J588" s="54" t="str">
        <f t="shared" si="28"/>
        <v>VCDN1</v>
      </c>
    </row>
    <row r="589" spans="1:10" hidden="1">
      <c r="A589" s="71" t="s">
        <v>263</v>
      </c>
      <c r="B589" s="75" t="s">
        <v>1821</v>
      </c>
      <c r="C589" s="71" t="s">
        <v>3084</v>
      </c>
      <c r="D589" s="72" t="s">
        <v>2442</v>
      </c>
      <c r="E589" s="2008" t="str">
        <f t="shared" si="29"/>
        <v>VC</v>
      </c>
      <c r="F589" s="54">
        <v>2000</v>
      </c>
      <c r="J589" s="54" t="str">
        <f t="shared" si="28"/>
        <v>VCDN2</v>
      </c>
    </row>
    <row r="590" spans="1:10" hidden="1">
      <c r="A590" s="71" t="s">
        <v>1473</v>
      </c>
      <c r="B590" s="75" t="s">
        <v>193</v>
      </c>
      <c r="C590" s="71" t="s">
        <v>3085</v>
      </c>
      <c r="D590" s="72" t="s">
        <v>2442</v>
      </c>
      <c r="E590" s="2008" t="str">
        <f t="shared" si="29"/>
        <v>VC</v>
      </c>
      <c r="F590" s="54">
        <v>2000</v>
      </c>
      <c r="J590" s="54" t="str">
        <f t="shared" si="28"/>
        <v>VCDN3</v>
      </c>
    </row>
    <row r="591" spans="1:10" hidden="1">
      <c r="A591" s="71" t="s">
        <v>1666</v>
      </c>
      <c r="B591" s="75" t="s">
        <v>1095</v>
      </c>
      <c r="C591" s="71" t="s">
        <v>3086</v>
      </c>
      <c r="D591" s="72" t="s">
        <v>2442</v>
      </c>
      <c r="E591" s="2008" t="str">
        <f t="shared" si="29"/>
        <v>VC</v>
      </c>
      <c r="F591" s="54">
        <v>2000</v>
      </c>
      <c r="J591" s="54" t="str">
        <f t="shared" si="28"/>
        <v>VCDN4</v>
      </c>
    </row>
    <row r="592" spans="1:10">
      <c r="A592" s="71" t="s">
        <v>1707</v>
      </c>
      <c r="B592" s="75" t="s">
        <v>1133</v>
      </c>
      <c r="C592" s="71" t="s">
        <v>2586</v>
      </c>
      <c r="D592" s="72" t="s">
        <v>2442</v>
      </c>
      <c r="E592" s="2008" t="str">
        <f t="shared" si="29"/>
        <v>VC</v>
      </c>
      <c r="F592" s="54">
        <v>2000</v>
      </c>
      <c r="J592" s="54" t="str">
        <f t="shared" si="28"/>
        <v>VCNX1</v>
      </c>
    </row>
    <row r="593" spans="1:10" hidden="1">
      <c r="A593" s="71" t="s">
        <v>1125</v>
      </c>
      <c r="B593" s="75" t="s">
        <v>27</v>
      </c>
      <c r="C593" s="71" t="s">
        <v>3087</v>
      </c>
      <c r="D593" s="72" t="s">
        <v>2442</v>
      </c>
      <c r="E593" s="2008" t="str">
        <f t="shared" si="29"/>
        <v>VC</v>
      </c>
      <c r="F593" s="54">
        <v>2000</v>
      </c>
      <c r="J593" s="54" t="str">
        <f t="shared" si="28"/>
        <v>VCNX2</v>
      </c>
    </row>
    <row r="594" spans="1:10" hidden="1">
      <c r="A594" s="71" t="s">
        <v>1126</v>
      </c>
      <c r="B594" s="75" t="s">
        <v>1672</v>
      </c>
      <c r="C594" s="71" t="s">
        <v>3088</v>
      </c>
      <c r="D594" s="72" t="s">
        <v>2442</v>
      </c>
      <c r="E594" s="2008" t="str">
        <f t="shared" si="29"/>
        <v>VC</v>
      </c>
      <c r="F594" s="54">
        <v>2000</v>
      </c>
      <c r="J594" s="54" t="str">
        <f t="shared" si="28"/>
        <v>VCNX3</v>
      </c>
    </row>
    <row r="595" spans="1:10" hidden="1">
      <c r="A595" s="71" t="s">
        <v>1127</v>
      </c>
      <c r="B595" s="75" t="s">
        <v>141</v>
      </c>
      <c r="C595" s="71" t="s">
        <v>3089</v>
      </c>
      <c r="D595" s="72" t="s">
        <v>2442</v>
      </c>
      <c r="E595" s="2008" t="str">
        <f t="shared" si="29"/>
        <v>VC</v>
      </c>
      <c r="F595" s="54">
        <v>2000</v>
      </c>
      <c r="J595" s="54" t="str">
        <f t="shared" si="28"/>
        <v>VCNX4</v>
      </c>
    </row>
    <row r="596" spans="1:10">
      <c r="A596" s="71" t="s">
        <v>1583</v>
      </c>
      <c r="B596" s="75" t="s">
        <v>2236</v>
      </c>
      <c r="C596" s="71" t="s">
        <v>2587</v>
      </c>
      <c r="D596" s="72" t="s">
        <v>2442</v>
      </c>
      <c r="E596" s="2008" t="str">
        <f t="shared" si="29"/>
        <v>VC</v>
      </c>
      <c r="F596" s="54">
        <v>2000</v>
      </c>
      <c r="J596" s="54" t="str">
        <f t="shared" si="28"/>
        <v>VCC1</v>
      </c>
    </row>
    <row r="597" spans="1:10" hidden="1">
      <c r="A597" s="71" t="s">
        <v>2237</v>
      </c>
      <c r="B597" s="75" t="s">
        <v>2238</v>
      </c>
      <c r="C597" s="71" t="s">
        <v>3090</v>
      </c>
      <c r="D597" s="72" t="s">
        <v>2442</v>
      </c>
      <c r="E597" s="2008" t="str">
        <f t="shared" si="29"/>
        <v>VC</v>
      </c>
      <c r="F597" s="54">
        <v>2000</v>
      </c>
      <c r="J597" s="54" t="str">
        <f t="shared" si="28"/>
        <v>VCC2</v>
      </c>
    </row>
    <row r="598" spans="1:10" hidden="1">
      <c r="A598" s="71" t="s">
        <v>567</v>
      </c>
      <c r="B598" s="75" t="s">
        <v>568</v>
      </c>
      <c r="C598" s="71" t="s">
        <v>3091</v>
      </c>
      <c r="D598" s="72" t="s">
        <v>2442</v>
      </c>
      <c r="E598" s="2008" t="str">
        <f t="shared" si="29"/>
        <v>VC</v>
      </c>
      <c r="F598" s="54">
        <v>2000</v>
      </c>
      <c r="J598" s="54" t="str">
        <f t="shared" si="28"/>
        <v>VCC3</v>
      </c>
    </row>
    <row r="599" spans="1:10" hidden="1">
      <c r="A599" s="71" t="s">
        <v>1643</v>
      </c>
      <c r="B599" s="75" t="s">
        <v>2240</v>
      </c>
      <c r="C599" s="71" t="s">
        <v>3092</v>
      </c>
      <c r="D599" s="72" t="s">
        <v>2442</v>
      </c>
      <c r="E599" s="2008" t="str">
        <f t="shared" si="29"/>
        <v>VC</v>
      </c>
      <c r="F599" s="54">
        <v>2000</v>
      </c>
      <c r="J599" s="54" t="str">
        <f t="shared" ref="J599:J662" si="30">A599</f>
        <v>VCC4</v>
      </c>
    </row>
    <row r="600" spans="1:10">
      <c r="A600" s="71" t="s">
        <v>1132</v>
      </c>
      <c r="B600" s="75" t="s">
        <v>1133</v>
      </c>
      <c r="C600" s="71" t="s">
        <v>2588</v>
      </c>
      <c r="D600" s="72" t="s">
        <v>2442</v>
      </c>
      <c r="E600" s="2008" t="str">
        <f t="shared" si="29"/>
        <v>VC</v>
      </c>
      <c r="F600" s="54">
        <v>2000</v>
      </c>
      <c r="J600" s="54" t="str">
        <f t="shared" si="30"/>
        <v>VCPK1</v>
      </c>
    </row>
    <row r="601" spans="1:10" hidden="1">
      <c r="A601" s="71" t="s">
        <v>1134</v>
      </c>
      <c r="B601" s="75" t="s">
        <v>27</v>
      </c>
      <c r="C601" s="71" t="s">
        <v>3093</v>
      </c>
      <c r="D601" s="72" t="s">
        <v>2442</v>
      </c>
      <c r="E601" s="2008" t="str">
        <f t="shared" si="29"/>
        <v>VC</v>
      </c>
      <c r="F601" s="54">
        <v>2000</v>
      </c>
      <c r="J601" s="54" t="str">
        <f t="shared" si="30"/>
        <v>VCPK2</v>
      </c>
    </row>
    <row r="602" spans="1:10" hidden="1">
      <c r="A602" s="71" t="s">
        <v>1671</v>
      </c>
      <c r="B602" s="75" t="s">
        <v>1672</v>
      </c>
      <c r="C602" s="71" t="s">
        <v>3094</v>
      </c>
      <c r="D602" s="72" t="s">
        <v>2442</v>
      </c>
      <c r="E602" s="2008" t="str">
        <f t="shared" si="29"/>
        <v>VC</v>
      </c>
      <c r="F602" s="54">
        <v>2000</v>
      </c>
      <c r="J602" s="54" t="str">
        <f t="shared" si="30"/>
        <v>VCPK3</v>
      </c>
    </row>
    <row r="603" spans="1:10" hidden="1">
      <c r="A603" s="71" t="s">
        <v>1404</v>
      </c>
      <c r="B603" s="75" t="s">
        <v>141</v>
      </c>
      <c r="C603" s="71" t="s">
        <v>3095</v>
      </c>
      <c r="D603" s="72" t="s">
        <v>2442</v>
      </c>
      <c r="E603" s="2008" t="str">
        <f t="shared" si="29"/>
        <v>VC</v>
      </c>
      <c r="F603" s="54">
        <v>2000</v>
      </c>
      <c r="J603" s="54" t="str">
        <f t="shared" si="30"/>
        <v>VCPK4</v>
      </c>
    </row>
    <row r="604" spans="1:10">
      <c r="A604" s="71" t="s">
        <v>1829</v>
      </c>
      <c r="B604" s="75" t="s">
        <v>1209</v>
      </c>
      <c r="C604" s="71" t="s">
        <v>2584</v>
      </c>
      <c r="D604" s="72" t="s">
        <v>2442</v>
      </c>
      <c r="E604" s="2008" t="str">
        <f t="shared" si="29"/>
        <v>VC</v>
      </c>
      <c r="F604" s="54">
        <v>2000</v>
      </c>
      <c r="J604" s="54" t="str">
        <f t="shared" si="30"/>
        <v>VCTD1</v>
      </c>
    </row>
    <row r="605" spans="1:10" hidden="1">
      <c r="A605" s="71" t="s">
        <v>117</v>
      </c>
      <c r="B605" s="75" t="s">
        <v>1538</v>
      </c>
      <c r="C605" s="71" t="s">
        <v>3096</v>
      </c>
      <c r="D605" s="72" t="s">
        <v>2442</v>
      </c>
      <c r="E605" s="2008" t="str">
        <f t="shared" si="29"/>
        <v>VC</v>
      </c>
      <c r="F605" s="54">
        <v>2000</v>
      </c>
      <c r="J605" s="54" t="str">
        <f t="shared" si="30"/>
        <v>VCTD2</v>
      </c>
    </row>
    <row r="606" spans="1:10" hidden="1">
      <c r="A606" s="71" t="s">
        <v>964</v>
      </c>
      <c r="B606" s="75" t="s">
        <v>1544</v>
      </c>
      <c r="C606" s="71" t="s">
        <v>3097</v>
      </c>
      <c r="D606" s="72" t="s">
        <v>2442</v>
      </c>
      <c r="E606" s="2008" t="str">
        <f t="shared" si="29"/>
        <v>VC</v>
      </c>
      <c r="F606" s="54">
        <v>2000</v>
      </c>
      <c r="J606" s="54" t="str">
        <f t="shared" si="30"/>
        <v>VCTD3</v>
      </c>
    </row>
    <row r="607" spans="1:10" hidden="1">
      <c r="A607" s="71" t="s">
        <v>1954</v>
      </c>
      <c r="B607" s="75" t="s">
        <v>1546</v>
      </c>
      <c r="C607" s="71" t="s">
        <v>3098</v>
      </c>
      <c r="D607" s="72" t="s">
        <v>2442</v>
      </c>
      <c r="E607" s="2008" t="str">
        <f t="shared" si="29"/>
        <v>VC</v>
      </c>
      <c r="F607" s="54">
        <v>2000</v>
      </c>
      <c r="J607" s="54" t="str">
        <f t="shared" si="30"/>
        <v>VCTD4</v>
      </c>
    </row>
    <row r="608" spans="1:10">
      <c r="A608" s="71" t="s">
        <v>1196</v>
      </c>
      <c r="B608" s="75" t="s">
        <v>1197</v>
      </c>
      <c r="C608" s="71" t="s">
        <v>2591</v>
      </c>
      <c r="D608" s="72" t="s">
        <v>2442</v>
      </c>
      <c r="E608" s="2008" t="str">
        <f t="shared" si="29"/>
        <v>VC</v>
      </c>
      <c r="F608" s="54">
        <v>2000</v>
      </c>
      <c r="J608" s="54" t="str">
        <f t="shared" si="30"/>
        <v>VCD1</v>
      </c>
    </row>
    <row r="609" spans="1:10" hidden="1">
      <c r="A609" s="71" t="s">
        <v>2116</v>
      </c>
      <c r="B609" s="75" t="s">
        <v>2038</v>
      </c>
      <c r="C609" s="71" t="s">
        <v>3099</v>
      </c>
      <c r="D609" s="72" t="s">
        <v>2442</v>
      </c>
      <c r="E609" s="2008" t="str">
        <f t="shared" si="29"/>
        <v>VC</v>
      </c>
      <c r="F609" s="54">
        <v>2000</v>
      </c>
      <c r="J609" s="54" t="str">
        <f t="shared" si="30"/>
        <v>VCD2</v>
      </c>
    </row>
    <row r="610" spans="1:10" hidden="1">
      <c r="A610" s="71" t="s">
        <v>315</v>
      </c>
      <c r="B610" s="75" t="s">
        <v>316</v>
      </c>
      <c r="C610" s="71" t="s">
        <v>3100</v>
      </c>
      <c r="D610" s="72" t="s">
        <v>2442</v>
      </c>
      <c r="E610" s="2008" t="str">
        <f t="shared" si="29"/>
        <v>VC</v>
      </c>
      <c r="F610" s="54">
        <v>2000</v>
      </c>
      <c r="J610" s="54" t="str">
        <f t="shared" si="30"/>
        <v>VCD3</v>
      </c>
    </row>
    <row r="611" spans="1:10" hidden="1">
      <c r="A611" s="71" t="s">
        <v>1541</v>
      </c>
      <c r="B611" s="75" t="s">
        <v>1542</v>
      </c>
      <c r="C611" s="71" t="s">
        <v>3101</v>
      </c>
      <c r="D611" s="72" t="s">
        <v>2442</v>
      </c>
      <c r="E611" s="2008" t="str">
        <f t="shared" si="29"/>
        <v>VC</v>
      </c>
      <c r="F611" s="54">
        <v>2000</v>
      </c>
      <c r="J611" s="54" t="str">
        <f t="shared" si="30"/>
        <v>VCD4</v>
      </c>
    </row>
    <row r="612" spans="1:10">
      <c r="A612" s="71" t="s">
        <v>1904</v>
      </c>
      <c r="B612" s="75" t="s">
        <v>75</v>
      </c>
      <c r="C612" s="71" t="s">
        <v>3102</v>
      </c>
      <c r="D612" s="72" t="s">
        <v>2442</v>
      </c>
      <c r="E612" s="2008" t="str">
        <f t="shared" si="29"/>
        <v>VC</v>
      </c>
      <c r="F612" s="54">
        <v>2000</v>
      </c>
      <c r="J612" s="54" t="str">
        <f t="shared" si="30"/>
        <v>VCS1</v>
      </c>
    </row>
    <row r="613" spans="1:10" hidden="1">
      <c r="A613" s="71" t="s">
        <v>76</v>
      </c>
      <c r="B613" s="75" t="s">
        <v>77</v>
      </c>
      <c r="C613" s="71" t="s">
        <v>3103</v>
      </c>
      <c r="D613" s="72" t="s">
        <v>2442</v>
      </c>
      <c r="E613" s="2008" t="str">
        <f t="shared" si="29"/>
        <v>VC</v>
      </c>
      <c r="F613" s="54">
        <v>2000</v>
      </c>
      <c r="J613" s="54" t="str">
        <f t="shared" si="30"/>
        <v>VCS2</v>
      </c>
    </row>
    <row r="614" spans="1:10" hidden="1">
      <c r="A614" s="71" t="s">
        <v>2075</v>
      </c>
      <c r="B614" s="75" t="s">
        <v>2076</v>
      </c>
      <c r="C614" s="71" t="s">
        <v>3104</v>
      </c>
      <c r="D614" s="72" t="s">
        <v>2442</v>
      </c>
      <c r="E614" s="2008" t="str">
        <f t="shared" si="29"/>
        <v>VC</v>
      </c>
      <c r="F614" s="54">
        <v>2000</v>
      </c>
      <c r="J614" s="54" t="str">
        <f t="shared" si="30"/>
        <v>VCS3</v>
      </c>
    </row>
    <row r="615" spans="1:10" hidden="1">
      <c r="A615" s="71" t="s">
        <v>944</v>
      </c>
      <c r="B615" s="75" t="s">
        <v>1605</v>
      </c>
      <c r="C615" s="71" t="s">
        <v>3105</v>
      </c>
      <c r="D615" s="72" t="s">
        <v>2442</v>
      </c>
      <c r="E615" s="2008" t="str">
        <f t="shared" si="29"/>
        <v>VC</v>
      </c>
      <c r="F615" s="54">
        <v>2000</v>
      </c>
      <c r="J615" s="54" t="str">
        <f t="shared" si="30"/>
        <v>VCS4</v>
      </c>
    </row>
    <row r="616" spans="1:10">
      <c r="A616" s="71" t="s">
        <v>1606</v>
      </c>
      <c r="B616" s="75" t="s">
        <v>1607</v>
      </c>
      <c r="C616" s="71" t="s">
        <v>2443</v>
      </c>
      <c r="D616" s="72" t="s">
        <v>2442</v>
      </c>
      <c r="E616" s="2008" t="str">
        <f t="shared" si="29"/>
        <v>VC</v>
      </c>
      <c r="F616" s="54">
        <v>2000</v>
      </c>
      <c r="J616" s="54" t="str">
        <f t="shared" si="30"/>
        <v>VCX1</v>
      </c>
    </row>
    <row r="617" spans="1:10" hidden="1">
      <c r="A617" s="71" t="s">
        <v>1608</v>
      </c>
      <c r="B617" s="75" t="s">
        <v>2241</v>
      </c>
      <c r="C617" s="71" t="s">
        <v>3106</v>
      </c>
      <c r="D617" s="72" t="s">
        <v>2442</v>
      </c>
      <c r="E617" s="2008" t="str">
        <f t="shared" si="29"/>
        <v>VC</v>
      </c>
      <c r="F617" s="54">
        <v>2000</v>
      </c>
      <c r="J617" s="54" t="str">
        <f t="shared" si="30"/>
        <v>VCX2</v>
      </c>
    </row>
    <row r="618" spans="1:10" hidden="1">
      <c r="A618" s="71" t="s">
        <v>1390</v>
      </c>
      <c r="B618" s="75" t="s">
        <v>1992</v>
      </c>
      <c r="C618" s="71" t="s">
        <v>3107</v>
      </c>
      <c r="D618" s="72" t="s">
        <v>2442</v>
      </c>
      <c r="E618" s="2008" t="str">
        <f t="shared" si="29"/>
        <v>VC</v>
      </c>
      <c r="F618" s="54">
        <v>2000</v>
      </c>
      <c r="J618" s="54" t="str">
        <f t="shared" si="30"/>
        <v>VCX3</v>
      </c>
    </row>
    <row r="619" spans="1:10" hidden="1">
      <c r="A619" s="71" t="s">
        <v>1993</v>
      </c>
      <c r="B619" s="75" t="s">
        <v>1994</v>
      </c>
      <c r="C619" s="71" t="s">
        <v>3108</v>
      </c>
      <c r="D619" s="72" t="s">
        <v>2442</v>
      </c>
      <c r="E619" s="2008" t="str">
        <f t="shared" si="29"/>
        <v>VC</v>
      </c>
      <c r="F619" s="54">
        <v>2000</v>
      </c>
      <c r="J619" s="54" t="str">
        <f t="shared" si="30"/>
        <v>VCX4</v>
      </c>
    </row>
    <row r="620" spans="1:10">
      <c r="A620" s="71" t="s">
        <v>1981</v>
      </c>
      <c r="B620" s="75" t="s">
        <v>1691</v>
      </c>
      <c r="C620" s="71" t="s">
        <v>2444</v>
      </c>
      <c r="D620" s="72" t="s">
        <v>2442</v>
      </c>
      <c r="E620" s="2008" t="str">
        <f t="shared" si="29"/>
        <v>VC</v>
      </c>
      <c r="F620" s="54">
        <v>2000</v>
      </c>
      <c r="J620" s="54" t="str">
        <f t="shared" si="30"/>
        <v>VCDC1</v>
      </c>
    </row>
    <row r="621" spans="1:10" hidden="1">
      <c r="A621" s="71" t="s">
        <v>1529</v>
      </c>
      <c r="B621" s="75" t="s">
        <v>1530</v>
      </c>
      <c r="C621" s="71" t="s">
        <v>3109</v>
      </c>
      <c r="D621" s="72" t="s">
        <v>2442</v>
      </c>
      <c r="E621" s="2008" t="str">
        <f t="shared" ref="E621:E684" si="31">LEFT(A621,2)</f>
        <v>VC</v>
      </c>
      <c r="F621" s="54">
        <v>2000</v>
      </c>
      <c r="J621" s="54" t="str">
        <f t="shared" si="30"/>
        <v>VCDC2</v>
      </c>
    </row>
    <row r="622" spans="1:10" hidden="1">
      <c r="A622" s="71" t="s">
        <v>1531</v>
      </c>
      <c r="B622" s="75" t="s">
        <v>1532</v>
      </c>
      <c r="C622" s="71" t="s">
        <v>3110</v>
      </c>
      <c r="D622" s="72" t="s">
        <v>2442</v>
      </c>
      <c r="E622" s="2008" t="str">
        <f t="shared" si="31"/>
        <v>VC</v>
      </c>
      <c r="F622" s="54">
        <v>2000</v>
      </c>
      <c r="J622" s="54" t="str">
        <f t="shared" si="30"/>
        <v>VCDC3</v>
      </c>
    </row>
    <row r="623" spans="1:10" hidden="1">
      <c r="A623" s="71" t="s">
        <v>990</v>
      </c>
      <c r="B623" s="75" t="s">
        <v>1811</v>
      </c>
      <c r="C623" s="71" t="s">
        <v>3111</v>
      </c>
      <c r="D623" s="72" t="s">
        <v>2442</v>
      </c>
      <c r="E623" s="2008" t="str">
        <f t="shared" si="31"/>
        <v>VC</v>
      </c>
      <c r="F623" s="54">
        <v>2000</v>
      </c>
      <c r="J623" s="54" t="str">
        <f t="shared" si="30"/>
        <v>VCDC4</v>
      </c>
    </row>
    <row r="624" spans="1:10">
      <c r="A624" s="71" t="s">
        <v>1247</v>
      </c>
      <c r="B624" s="75" t="s">
        <v>1248</v>
      </c>
      <c r="C624" s="71" t="s">
        <v>3112</v>
      </c>
      <c r="D624" s="72" t="s">
        <v>2590</v>
      </c>
      <c r="E624" s="2008" t="str">
        <f t="shared" si="31"/>
        <v>VC</v>
      </c>
      <c r="F624" s="54">
        <v>2000</v>
      </c>
      <c r="J624" s="54" t="str">
        <f t="shared" si="30"/>
        <v>VCCT1</v>
      </c>
    </row>
    <row r="625" spans="1:10" hidden="1">
      <c r="A625" s="71" t="s">
        <v>1415</v>
      </c>
      <c r="B625" s="75" t="s">
        <v>598</v>
      </c>
      <c r="C625" s="71" t="s">
        <v>3113</v>
      </c>
      <c r="D625" s="72" t="s">
        <v>2590</v>
      </c>
      <c r="E625" s="2008" t="str">
        <f t="shared" si="31"/>
        <v>VC</v>
      </c>
      <c r="F625" s="54">
        <v>2000</v>
      </c>
      <c r="J625" s="54" t="str">
        <f t="shared" si="30"/>
        <v>VCCT2</v>
      </c>
    </row>
    <row r="626" spans="1:10" hidden="1">
      <c r="A626" s="71" t="s">
        <v>2244</v>
      </c>
      <c r="B626" s="75" t="s">
        <v>2245</v>
      </c>
      <c r="C626" s="71" t="s">
        <v>3114</v>
      </c>
      <c r="D626" s="72" t="s">
        <v>2590</v>
      </c>
      <c r="E626" s="2008" t="str">
        <f t="shared" si="31"/>
        <v>VC</v>
      </c>
      <c r="F626" s="54">
        <v>2000</v>
      </c>
      <c r="J626" s="54" t="str">
        <f t="shared" si="30"/>
        <v>VCCT3</v>
      </c>
    </row>
    <row r="627" spans="1:10" hidden="1">
      <c r="A627" s="71" t="s">
        <v>1799</v>
      </c>
      <c r="B627" s="75" t="s">
        <v>714</v>
      </c>
      <c r="C627" s="71" t="s">
        <v>3115</v>
      </c>
      <c r="D627" s="72" t="s">
        <v>2590</v>
      </c>
      <c r="E627" s="2008" t="str">
        <f t="shared" si="31"/>
        <v>VC</v>
      </c>
      <c r="F627" s="54">
        <v>2000</v>
      </c>
      <c r="J627" s="54" t="str">
        <f t="shared" si="30"/>
        <v>VCCT4</v>
      </c>
    </row>
    <row r="628" spans="1:10">
      <c r="A628" s="71" t="s">
        <v>715</v>
      </c>
      <c r="B628" s="75" t="s">
        <v>716</v>
      </c>
      <c r="C628" s="71" t="s">
        <v>2589</v>
      </c>
      <c r="D628" s="72" t="s">
        <v>2590</v>
      </c>
      <c r="E628" s="2008" t="str">
        <f t="shared" si="31"/>
        <v>VC</v>
      </c>
      <c r="F628" s="54">
        <v>2000</v>
      </c>
      <c r="J628" s="54" t="str">
        <f t="shared" si="30"/>
        <v>VCCT5</v>
      </c>
    </row>
    <row r="629" spans="1:10" hidden="1">
      <c r="A629" s="71" t="s">
        <v>717</v>
      </c>
      <c r="B629" s="75" t="s">
        <v>718</v>
      </c>
      <c r="C629" s="71" t="s">
        <v>3116</v>
      </c>
      <c r="D629" s="72" t="s">
        <v>2590</v>
      </c>
      <c r="E629" s="2008" t="str">
        <f t="shared" si="31"/>
        <v>VC</v>
      </c>
      <c r="F629" s="54">
        <v>2000</v>
      </c>
      <c r="J629" s="54" t="str">
        <f t="shared" si="30"/>
        <v>VCCT6</v>
      </c>
    </row>
    <row r="630" spans="1:10" hidden="1">
      <c r="A630" s="71" t="s">
        <v>1557</v>
      </c>
      <c r="B630" s="75" t="s">
        <v>1021</v>
      </c>
      <c r="C630" s="71" t="s">
        <v>3117</v>
      </c>
      <c r="D630" s="72" t="s">
        <v>2590</v>
      </c>
      <c r="E630" s="2008" t="str">
        <f t="shared" si="31"/>
        <v>VC</v>
      </c>
      <c r="F630" s="54">
        <v>2000</v>
      </c>
      <c r="J630" s="54" t="str">
        <f t="shared" si="30"/>
        <v>VCCT7</v>
      </c>
    </row>
    <row r="631" spans="1:10" hidden="1">
      <c r="A631" s="71" t="s">
        <v>1816</v>
      </c>
      <c r="B631" s="75" t="s">
        <v>1817</v>
      </c>
      <c r="C631" s="71" t="s">
        <v>3118</v>
      </c>
      <c r="D631" s="72" t="s">
        <v>2590</v>
      </c>
      <c r="E631" s="2008" t="str">
        <f t="shared" si="31"/>
        <v>VC</v>
      </c>
      <c r="F631" s="54">
        <v>2000</v>
      </c>
      <c r="J631" s="54" t="str">
        <f t="shared" si="30"/>
        <v>VCCT8</v>
      </c>
    </row>
    <row r="632" spans="1:10">
      <c r="A632" s="71" t="s">
        <v>495</v>
      </c>
      <c r="B632" s="75" t="s">
        <v>496</v>
      </c>
      <c r="C632" s="71" t="s">
        <v>2580</v>
      </c>
      <c r="D632" s="72" t="s">
        <v>2442</v>
      </c>
      <c r="E632" s="2008" t="str">
        <f t="shared" si="31"/>
        <v>VC</v>
      </c>
      <c r="F632" s="54">
        <v>2000</v>
      </c>
      <c r="J632" s="54" t="str">
        <f t="shared" si="30"/>
        <v>VCXM1</v>
      </c>
    </row>
    <row r="633" spans="1:10" hidden="1">
      <c r="A633" s="71" t="s">
        <v>1283</v>
      </c>
      <c r="B633" s="75" t="s">
        <v>1284</v>
      </c>
      <c r="C633" s="71" t="s">
        <v>3119</v>
      </c>
      <c r="D633" s="72" t="s">
        <v>2442</v>
      </c>
      <c r="E633" s="2008" t="str">
        <f t="shared" si="31"/>
        <v>VC</v>
      </c>
      <c r="F633" s="54">
        <v>2000</v>
      </c>
      <c r="J633" s="54" t="str">
        <f t="shared" si="30"/>
        <v>VCXM2</v>
      </c>
    </row>
    <row r="634" spans="1:10" hidden="1">
      <c r="A634" s="71" t="s">
        <v>1285</v>
      </c>
      <c r="B634" s="75" t="s">
        <v>1286</v>
      </c>
      <c r="C634" s="71" t="s">
        <v>3120</v>
      </c>
      <c r="D634" s="72" t="s">
        <v>2442</v>
      </c>
      <c r="E634" s="2008" t="str">
        <f t="shared" si="31"/>
        <v>VC</v>
      </c>
      <c r="F634" s="54">
        <v>2000</v>
      </c>
      <c r="J634" s="54" t="str">
        <f t="shared" si="30"/>
        <v>VCXM3</v>
      </c>
    </row>
    <row r="635" spans="1:10" hidden="1">
      <c r="A635" s="71" t="s">
        <v>1287</v>
      </c>
      <c r="B635" s="75" t="s">
        <v>1288</v>
      </c>
      <c r="C635" s="71" t="s">
        <v>3121</v>
      </c>
      <c r="D635" s="72" t="s">
        <v>2442</v>
      </c>
      <c r="E635" s="2008" t="str">
        <f t="shared" si="31"/>
        <v>VC</v>
      </c>
      <c r="F635" s="54">
        <v>2000</v>
      </c>
      <c r="J635" s="54" t="str">
        <f t="shared" si="30"/>
        <v>VCXM4</v>
      </c>
    </row>
    <row r="636" spans="1:10">
      <c r="A636" s="71" t="s">
        <v>521</v>
      </c>
      <c r="B636" s="75" t="s">
        <v>808</v>
      </c>
      <c r="C636" s="71" t="s">
        <v>2582</v>
      </c>
      <c r="D636" s="72" t="s">
        <v>856</v>
      </c>
      <c r="E636" s="2008" t="str">
        <f t="shared" si="31"/>
        <v>VC</v>
      </c>
      <c r="F636" s="54">
        <v>2000</v>
      </c>
      <c r="J636" s="54" t="str">
        <f t="shared" si="30"/>
        <v>VCLD1</v>
      </c>
    </row>
    <row r="637" spans="1:10" hidden="1">
      <c r="A637" s="71" t="s">
        <v>1966</v>
      </c>
      <c r="B637" s="75" t="s">
        <v>1967</v>
      </c>
      <c r="C637" s="71" t="s">
        <v>3122</v>
      </c>
      <c r="D637" s="72" t="s">
        <v>856</v>
      </c>
      <c r="E637" s="2008" t="str">
        <f t="shared" si="31"/>
        <v>VC</v>
      </c>
      <c r="F637" s="54">
        <v>2000</v>
      </c>
      <c r="J637" s="54" t="str">
        <f t="shared" si="30"/>
        <v>VCLD2</v>
      </c>
    </row>
    <row r="638" spans="1:10" hidden="1">
      <c r="A638" s="71" t="s">
        <v>1968</v>
      </c>
      <c r="B638" s="75" t="s">
        <v>1969</v>
      </c>
      <c r="C638" s="71" t="s">
        <v>3123</v>
      </c>
      <c r="D638" s="72" t="s">
        <v>856</v>
      </c>
      <c r="E638" s="2008" t="str">
        <f t="shared" si="31"/>
        <v>VC</v>
      </c>
      <c r="F638" s="54">
        <v>2000</v>
      </c>
      <c r="J638" s="54" t="str">
        <f t="shared" si="30"/>
        <v>VCLD3</v>
      </c>
    </row>
    <row r="639" spans="1:10" hidden="1">
      <c r="A639" s="71" t="s">
        <v>1970</v>
      </c>
      <c r="B639" s="75" t="s">
        <v>1971</v>
      </c>
      <c r="C639" s="71" t="s">
        <v>3124</v>
      </c>
      <c r="D639" s="72" t="s">
        <v>856</v>
      </c>
      <c r="E639" s="2008" t="str">
        <f t="shared" si="31"/>
        <v>VC</v>
      </c>
      <c r="F639" s="54">
        <v>2000</v>
      </c>
      <c r="J639" s="54" t="str">
        <f t="shared" si="30"/>
        <v>VCLD4</v>
      </c>
    </row>
    <row r="640" spans="1:10" hidden="1">
      <c r="A640" s="71" t="s">
        <v>43</v>
      </c>
      <c r="B640" s="75" t="s">
        <v>44</v>
      </c>
      <c r="C640" s="71" t="s">
        <v>3125</v>
      </c>
      <c r="D640" s="72" t="s">
        <v>856</v>
      </c>
      <c r="E640" s="2008" t="str">
        <f t="shared" si="31"/>
        <v>VC</v>
      </c>
      <c r="F640" s="54">
        <v>2000</v>
      </c>
      <c r="J640" s="54" t="str">
        <f t="shared" si="30"/>
        <v>VCDAT1</v>
      </c>
    </row>
    <row r="641" spans="1:10" hidden="1">
      <c r="A641" s="71" t="s">
        <v>1982</v>
      </c>
      <c r="B641" s="75" t="s">
        <v>1983</v>
      </c>
      <c r="C641" s="71" t="s">
        <v>3126</v>
      </c>
      <c r="D641" s="72" t="s">
        <v>856</v>
      </c>
      <c r="E641" s="2008" t="str">
        <f t="shared" si="31"/>
        <v>VC</v>
      </c>
      <c r="F641" s="54">
        <v>2000</v>
      </c>
      <c r="J641" s="54" t="str">
        <f t="shared" si="30"/>
        <v>VCDAT2</v>
      </c>
    </row>
    <row r="642" spans="1:10" hidden="1">
      <c r="A642" s="71" t="s">
        <v>1396</v>
      </c>
      <c r="B642" s="75" t="s">
        <v>1397</v>
      </c>
      <c r="C642" s="71" t="s">
        <v>3127</v>
      </c>
      <c r="D642" s="72" t="s">
        <v>856</v>
      </c>
      <c r="E642" s="2008" t="str">
        <f t="shared" si="31"/>
        <v>VC</v>
      </c>
      <c r="F642" s="54">
        <v>2000</v>
      </c>
      <c r="J642" s="54" t="str">
        <f t="shared" si="30"/>
        <v>VCDAT3</v>
      </c>
    </row>
    <row r="643" spans="1:10" hidden="1">
      <c r="A643" s="71" t="s">
        <v>1770</v>
      </c>
      <c r="B643" s="75" t="s">
        <v>2003</v>
      </c>
      <c r="C643" s="71" t="s">
        <v>3128</v>
      </c>
      <c r="D643" s="72" t="s">
        <v>856</v>
      </c>
      <c r="E643" s="2008" t="str">
        <f t="shared" si="31"/>
        <v>VC</v>
      </c>
      <c r="F643" s="54">
        <v>2000</v>
      </c>
      <c r="J643" s="54" t="str">
        <f t="shared" si="30"/>
        <v>VCDAT4</v>
      </c>
    </row>
    <row r="644" spans="1:10">
      <c r="A644" s="71" t="s">
        <v>2004</v>
      </c>
      <c r="B644" s="75" t="s">
        <v>2005</v>
      </c>
      <c r="C644" s="71" t="s">
        <v>3129</v>
      </c>
      <c r="D644" s="72" t="s">
        <v>856</v>
      </c>
      <c r="E644" s="2008" t="str">
        <f t="shared" si="31"/>
        <v>VC</v>
      </c>
      <c r="F644" s="54">
        <v>2000</v>
      </c>
      <c r="J644" s="54" t="str">
        <f t="shared" si="30"/>
        <v>VCCAT1D</v>
      </c>
    </row>
    <row r="645" spans="1:10" hidden="1">
      <c r="A645" s="71" t="s">
        <v>45</v>
      </c>
      <c r="B645" s="75" t="s">
        <v>46</v>
      </c>
      <c r="C645" s="71" t="s">
        <v>3130</v>
      </c>
      <c r="D645" s="72" t="s">
        <v>856</v>
      </c>
      <c r="E645" s="2008" t="str">
        <f t="shared" si="31"/>
        <v>VC</v>
      </c>
      <c r="F645" s="54">
        <v>2000</v>
      </c>
      <c r="J645" s="54" t="str">
        <f t="shared" si="30"/>
        <v>VCCAT2d</v>
      </c>
    </row>
    <row r="646" spans="1:10" hidden="1">
      <c r="A646" s="71" t="s">
        <v>1703</v>
      </c>
      <c r="B646" s="75" t="s">
        <v>1704</v>
      </c>
      <c r="C646" s="71" t="s">
        <v>3131</v>
      </c>
      <c r="D646" s="72" t="s">
        <v>856</v>
      </c>
      <c r="E646" s="2008" t="str">
        <f t="shared" si="31"/>
        <v>VC</v>
      </c>
      <c r="F646" s="54">
        <v>2000</v>
      </c>
      <c r="J646" s="54" t="str">
        <f t="shared" si="30"/>
        <v>VCCAT3d</v>
      </c>
    </row>
    <row r="647" spans="1:10" hidden="1">
      <c r="A647" s="71" t="s">
        <v>1705</v>
      </c>
      <c r="B647" s="75" t="s">
        <v>1706</v>
      </c>
      <c r="C647" s="71" t="s">
        <v>3132</v>
      </c>
      <c r="D647" s="72" t="s">
        <v>856</v>
      </c>
      <c r="E647" s="2008" t="str">
        <f t="shared" si="31"/>
        <v>VC</v>
      </c>
      <c r="F647" s="54">
        <v>2000</v>
      </c>
      <c r="J647" s="54" t="str">
        <f t="shared" si="30"/>
        <v>VCCAT4d</v>
      </c>
    </row>
    <row r="648" spans="1:10">
      <c r="A648" s="71" t="s">
        <v>1611</v>
      </c>
      <c r="B648" s="75" t="s">
        <v>1117</v>
      </c>
      <c r="C648" s="71" t="s">
        <v>2581</v>
      </c>
      <c r="D648" s="72" t="s">
        <v>856</v>
      </c>
      <c r="E648" s="2008" t="str">
        <f t="shared" si="31"/>
        <v>VC</v>
      </c>
      <c r="F648" s="54">
        <v>2000</v>
      </c>
      <c r="J648" s="54" t="str">
        <f t="shared" si="30"/>
        <v>VCCAT1</v>
      </c>
    </row>
    <row r="649" spans="1:10" hidden="1">
      <c r="A649" s="71" t="s">
        <v>800</v>
      </c>
      <c r="B649" s="75" t="s">
        <v>1791</v>
      </c>
      <c r="C649" s="71" t="s">
        <v>3133</v>
      </c>
      <c r="D649" s="72" t="s">
        <v>856</v>
      </c>
      <c r="E649" s="2008" t="str">
        <f t="shared" si="31"/>
        <v>VC</v>
      </c>
      <c r="F649" s="54">
        <v>2000</v>
      </c>
      <c r="J649" s="54" t="str">
        <f t="shared" si="30"/>
        <v>VCCAT2</v>
      </c>
    </row>
    <row r="650" spans="1:10" hidden="1">
      <c r="A650" s="71" t="s">
        <v>1232</v>
      </c>
      <c r="B650" s="75" t="s">
        <v>1233</v>
      </c>
      <c r="C650" s="71" t="s">
        <v>3134</v>
      </c>
      <c r="D650" s="72" t="s">
        <v>856</v>
      </c>
      <c r="E650" s="2008" t="str">
        <f t="shared" si="31"/>
        <v>VC</v>
      </c>
      <c r="F650" s="54">
        <v>2000</v>
      </c>
      <c r="J650" s="54" t="str">
        <f t="shared" si="30"/>
        <v>VCCAT3</v>
      </c>
    </row>
    <row r="651" spans="1:10" hidden="1">
      <c r="A651" s="71" t="s">
        <v>1234</v>
      </c>
      <c r="B651" s="75" t="s">
        <v>1207</v>
      </c>
      <c r="C651" s="71" t="s">
        <v>3135</v>
      </c>
      <c r="D651" s="72" t="s">
        <v>856</v>
      </c>
      <c r="E651" s="2008" t="str">
        <f t="shared" si="31"/>
        <v>VC</v>
      </c>
      <c r="F651" s="54">
        <v>2000</v>
      </c>
      <c r="J651" s="54" t="str">
        <f t="shared" si="30"/>
        <v>VCCAT4</v>
      </c>
    </row>
    <row r="652" spans="1:10">
      <c r="A652" s="71" t="s">
        <v>1208</v>
      </c>
      <c r="B652" s="75" t="s">
        <v>1209</v>
      </c>
      <c r="C652" s="71" t="s">
        <v>2579</v>
      </c>
      <c r="D652" s="72" t="s">
        <v>2442</v>
      </c>
      <c r="E652" s="2008" t="str">
        <f t="shared" si="31"/>
        <v>VC</v>
      </c>
      <c r="F652" s="54">
        <v>2000</v>
      </c>
      <c r="J652" s="54" t="str">
        <f t="shared" si="30"/>
        <v>VCFE1</v>
      </c>
    </row>
    <row r="653" spans="1:10" hidden="1">
      <c r="A653" s="71" t="s">
        <v>1537</v>
      </c>
      <c r="B653" s="75" t="s">
        <v>1538</v>
      </c>
      <c r="C653" s="71" t="s">
        <v>3136</v>
      </c>
      <c r="D653" s="72" t="s">
        <v>2442</v>
      </c>
      <c r="E653" s="2008" t="str">
        <f t="shared" si="31"/>
        <v>VC</v>
      </c>
      <c r="F653" s="54">
        <v>2000</v>
      </c>
      <c r="J653" s="54" t="str">
        <f t="shared" si="30"/>
        <v>VCFE2</v>
      </c>
    </row>
    <row r="654" spans="1:10" hidden="1">
      <c r="A654" s="71" t="s">
        <v>1543</v>
      </c>
      <c r="B654" s="75" t="s">
        <v>1544</v>
      </c>
      <c r="C654" s="71" t="s">
        <v>3137</v>
      </c>
      <c r="D654" s="72" t="s">
        <v>2442</v>
      </c>
      <c r="E654" s="2008" t="str">
        <f t="shared" si="31"/>
        <v>VC</v>
      </c>
      <c r="F654" s="54">
        <v>2000</v>
      </c>
      <c r="J654" s="54" t="str">
        <f t="shared" si="30"/>
        <v>VCFE3</v>
      </c>
    </row>
    <row r="655" spans="1:10" hidden="1">
      <c r="A655" s="71" t="s">
        <v>1545</v>
      </c>
      <c r="B655" s="75" t="s">
        <v>1546</v>
      </c>
      <c r="C655" s="71" t="s">
        <v>3138</v>
      </c>
      <c r="D655" s="72" t="s">
        <v>2442</v>
      </c>
      <c r="E655" s="2008" t="str">
        <f t="shared" si="31"/>
        <v>VC</v>
      </c>
      <c r="F655" s="54">
        <v>2000</v>
      </c>
      <c r="J655" s="54" t="str">
        <f t="shared" si="30"/>
        <v>VCFE4</v>
      </c>
    </row>
    <row r="656" spans="1:10" hidden="1">
      <c r="A656" s="71" t="s">
        <v>1576</v>
      </c>
      <c r="B656" s="75" t="s">
        <v>1977</v>
      </c>
      <c r="C656" s="71" t="s">
        <v>3139</v>
      </c>
      <c r="D656" s="72" t="s">
        <v>2442</v>
      </c>
      <c r="E656" s="2008" t="str">
        <f t="shared" si="31"/>
        <v>BO</v>
      </c>
      <c r="F656" s="54">
        <v>2000</v>
      </c>
      <c r="J656" s="54" t="str">
        <f t="shared" si="30"/>
        <v>BOCDC</v>
      </c>
    </row>
    <row r="657" spans="1:10" hidden="1">
      <c r="A657" s="71" t="s">
        <v>763</v>
      </c>
      <c r="B657" s="75" t="s">
        <v>764</v>
      </c>
      <c r="C657" s="71" t="s">
        <v>3140</v>
      </c>
      <c r="D657" s="72" t="s">
        <v>2442</v>
      </c>
      <c r="E657" s="2008" t="str">
        <f t="shared" si="31"/>
        <v>BO</v>
      </c>
      <c r="F657" s="54">
        <v>2000</v>
      </c>
      <c r="J657" s="54" t="str">
        <f t="shared" si="30"/>
        <v>BOCNX</v>
      </c>
    </row>
    <row r="658" spans="1:10" hidden="1">
      <c r="A658" s="71" t="s">
        <v>1474</v>
      </c>
      <c r="B658" s="75" t="s">
        <v>1475</v>
      </c>
      <c r="C658" s="71" t="s">
        <v>3141</v>
      </c>
      <c r="D658" s="72" t="s">
        <v>2442</v>
      </c>
      <c r="E658" s="2008" t="str">
        <f t="shared" si="31"/>
        <v>BO</v>
      </c>
      <c r="F658" s="54">
        <v>2000</v>
      </c>
      <c r="J658" s="54" t="str">
        <f t="shared" si="30"/>
        <v>BOCTR</v>
      </c>
    </row>
    <row r="659" spans="1:10" hidden="1">
      <c r="A659" s="71" t="s">
        <v>217</v>
      </c>
      <c r="B659" s="75" t="s">
        <v>218</v>
      </c>
      <c r="C659" s="71" t="s">
        <v>2441</v>
      </c>
      <c r="D659" s="72" t="s">
        <v>2442</v>
      </c>
      <c r="E659" s="2008" t="str">
        <f t="shared" si="31"/>
        <v>BO</v>
      </c>
      <c r="F659" s="54">
        <v>2000</v>
      </c>
      <c r="J659" s="54" t="str">
        <f t="shared" si="30"/>
        <v>BOCX</v>
      </c>
    </row>
    <row r="660" spans="1:10" hidden="1">
      <c r="A660" s="71" t="s">
        <v>1476</v>
      </c>
      <c r="B660" s="75" t="s">
        <v>1224</v>
      </c>
      <c r="C660" s="71" t="s">
        <v>3142</v>
      </c>
      <c r="D660" s="72" t="s">
        <v>2442</v>
      </c>
      <c r="E660" s="2008" t="str">
        <f t="shared" si="31"/>
        <v>BO</v>
      </c>
      <c r="F660" s="54">
        <v>2000</v>
      </c>
      <c r="J660" s="54" t="str">
        <f t="shared" si="30"/>
        <v>BOCD</v>
      </c>
    </row>
    <row r="661" spans="1:10" hidden="1">
      <c r="A661" s="71" t="s">
        <v>2129</v>
      </c>
      <c r="B661" s="75" t="s">
        <v>1057</v>
      </c>
      <c r="C661" s="71" t="s">
        <v>3143</v>
      </c>
      <c r="D661" s="72" t="s">
        <v>2442</v>
      </c>
      <c r="E661" s="2008" t="str">
        <f t="shared" si="31"/>
        <v>BO</v>
      </c>
      <c r="F661" s="54">
        <v>2000</v>
      </c>
      <c r="J661" s="54" t="str">
        <f t="shared" si="30"/>
        <v>BOCPK</v>
      </c>
    </row>
    <row r="662" spans="1:10" hidden="1">
      <c r="A662" s="71" t="s">
        <v>813</v>
      </c>
      <c r="B662" s="75" t="s">
        <v>814</v>
      </c>
      <c r="C662" s="71" t="s">
        <v>3144</v>
      </c>
      <c r="D662" s="72" t="s">
        <v>2442</v>
      </c>
      <c r="E662" s="2008" t="str">
        <f t="shared" si="31"/>
        <v>BO</v>
      </c>
      <c r="F662" s="54">
        <v>2000</v>
      </c>
      <c r="J662" s="54" t="str">
        <f t="shared" si="30"/>
        <v>BOCS</v>
      </c>
    </row>
    <row r="663" spans="1:10" hidden="1">
      <c r="A663" s="71" t="s">
        <v>815</v>
      </c>
      <c r="B663" s="75" t="s">
        <v>317</v>
      </c>
      <c r="C663" s="71" t="s">
        <v>3145</v>
      </c>
      <c r="D663" s="72" t="s">
        <v>2442</v>
      </c>
      <c r="E663" s="2008" t="str">
        <f t="shared" si="31"/>
        <v>BO</v>
      </c>
      <c r="F663" s="54">
        <v>2000</v>
      </c>
      <c r="J663" s="54" t="str">
        <f t="shared" ref="J663:J726" si="32">A663</f>
        <v>BOCTH</v>
      </c>
    </row>
    <row r="664" spans="1:10" hidden="1">
      <c r="A664" s="71" t="s">
        <v>1293</v>
      </c>
      <c r="B664" s="75" t="s">
        <v>1294</v>
      </c>
      <c r="C664" s="71" t="s">
        <v>3146</v>
      </c>
      <c r="D664" s="72" t="s">
        <v>2442</v>
      </c>
      <c r="E664" s="2008" t="str">
        <f t="shared" si="31"/>
        <v>BO</v>
      </c>
      <c r="F664" s="54">
        <v>2000</v>
      </c>
      <c r="J664" s="54" t="str">
        <f t="shared" si="32"/>
        <v>BOCXI</v>
      </c>
    </row>
    <row r="665" spans="1:10" hidden="1">
      <c r="A665" s="71" t="s">
        <v>133</v>
      </c>
      <c r="B665" s="75" t="s">
        <v>134</v>
      </c>
      <c r="C665" s="71" t="s">
        <v>3147</v>
      </c>
      <c r="D665" s="72" t="s">
        <v>856</v>
      </c>
      <c r="E665" s="2008" t="str">
        <f t="shared" si="31"/>
        <v>BO</v>
      </c>
      <c r="F665" s="54">
        <v>2000</v>
      </c>
      <c r="J665" s="54" t="str">
        <f t="shared" si="32"/>
        <v>BOCCAT</v>
      </c>
    </row>
    <row r="666" spans="1:10" hidden="1">
      <c r="A666" s="71" t="s">
        <v>135</v>
      </c>
      <c r="B666" s="75" t="s">
        <v>723</v>
      </c>
      <c r="C666" s="71" t="s">
        <v>3148</v>
      </c>
      <c r="D666" s="72" t="s">
        <v>856</v>
      </c>
      <c r="E666" s="2008" t="str">
        <f t="shared" si="31"/>
        <v>BO</v>
      </c>
      <c r="F666" s="54">
        <v>2000</v>
      </c>
      <c r="J666" s="54" t="str">
        <f t="shared" si="32"/>
        <v>BOCDA</v>
      </c>
    </row>
    <row r="667" spans="1:10" hidden="1">
      <c r="A667" s="71" t="s">
        <v>2105</v>
      </c>
      <c r="B667" s="75" t="s">
        <v>1097</v>
      </c>
      <c r="C667" s="71" t="s">
        <v>3149</v>
      </c>
      <c r="D667" s="72" t="s">
        <v>856</v>
      </c>
      <c r="E667" s="2008" t="str">
        <f t="shared" si="31"/>
        <v>BO</v>
      </c>
      <c r="F667" s="54">
        <v>2000</v>
      </c>
      <c r="J667" s="54" t="str">
        <f t="shared" si="32"/>
        <v>BOBT</v>
      </c>
    </row>
    <row r="668" spans="1:10" hidden="1">
      <c r="A668" s="71" t="s">
        <v>1577</v>
      </c>
      <c r="B668" s="75" t="s">
        <v>724</v>
      </c>
      <c r="C668" s="71" t="s">
        <v>3150</v>
      </c>
      <c r="D668" s="72" t="s">
        <v>2590</v>
      </c>
      <c r="E668" s="2008" t="str">
        <f t="shared" si="31"/>
        <v>BO</v>
      </c>
      <c r="F668" s="54">
        <v>2000</v>
      </c>
      <c r="J668" s="54" t="str">
        <f t="shared" si="32"/>
        <v>BOCCT5</v>
      </c>
    </row>
    <row r="669" spans="1:10" hidden="1">
      <c r="A669" s="71" t="s">
        <v>1517</v>
      </c>
      <c r="B669" s="75" t="s">
        <v>266</v>
      </c>
      <c r="C669" s="71" t="s">
        <v>3151</v>
      </c>
      <c r="D669" s="72" t="s">
        <v>2532</v>
      </c>
      <c r="E669" s="2008" t="str">
        <f t="shared" si="31"/>
        <v>KT</v>
      </c>
      <c r="F669" s="54">
        <v>2000</v>
      </c>
      <c r="J669" s="54" t="str">
        <f t="shared" si="32"/>
        <v>KTD</v>
      </c>
    </row>
    <row r="670" spans="1:10" hidden="1">
      <c r="A670" s="71" t="s">
        <v>389</v>
      </c>
      <c r="B670" s="75" t="s">
        <v>1494</v>
      </c>
      <c r="C670" s="71" t="s">
        <v>3152</v>
      </c>
      <c r="D670" s="72" t="s">
        <v>2248</v>
      </c>
      <c r="E670" s="2008" t="str">
        <f t="shared" si="31"/>
        <v>KT</v>
      </c>
      <c r="F670" s="54">
        <v>2000</v>
      </c>
      <c r="J670" s="54" t="str">
        <f t="shared" si="32"/>
        <v>KTDTBA</v>
      </c>
    </row>
    <row r="671" spans="1:10" hidden="1">
      <c r="A671" s="71" t="s">
        <v>1104</v>
      </c>
      <c r="B671" s="1653" t="s">
        <v>1763</v>
      </c>
      <c r="C671" s="71" t="s">
        <v>4329</v>
      </c>
      <c r="D671" s="72" t="s">
        <v>2278</v>
      </c>
      <c r="E671" s="2008" t="str">
        <f t="shared" si="31"/>
        <v>DC</v>
      </c>
      <c r="F671" s="54">
        <v>2000</v>
      </c>
      <c r="J671" s="54" t="str">
        <f t="shared" si="32"/>
        <v>DCTD3</v>
      </c>
    </row>
    <row r="672" spans="1:10" hidden="1">
      <c r="A672" s="71" t="s">
        <v>61</v>
      </c>
      <c r="B672" s="75" t="s">
        <v>1495</v>
      </c>
      <c r="C672" s="71" t="s">
        <v>3153</v>
      </c>
      <c r="D672" s="72" t="s">
        <v>2278</v>
      </c>
      <c r="E672" s="2008" t="str">
        <f t="shared" si="31"/>
        <v>DC</v>
      </c>
      <c r="F672" s="54">
        <v>2000</v>
      </c>
      <c r="J672" s="54" t="str">
        <f t="shared" si="32"/>
        <v>DCTD4</v>
      </c>
    </row>
    <row r="673" spans="1:10" hidden="1">
      <c r="A673" s="71" t="s">
        <v>1438</v>
      </c>
      <c r="B673" s="75" t="s">
        <v>1709</v>
      </c>
      <c r="C673" s="71" t="s">
        <v>3154</v>
      </c>
      <c r="D673" s="72" t="s">
        <v>2278</v>
      </c>
      <c r="E673" s="2008" t="str">
        <f t="shared" si="31"/>
        <v>DC</v>
      </c>
      <c r="F673" s="54">
        <v>2000</v>
      </c>
      <c r="J673" s="54" t="str">
        <f t="shared" si="32"/>
        <v>DCTDTBA</v>
      </c>
    </row>
    <row r="674" spans="1:10" hidden="1">
      <c r="A674" s="71" t="s">
        <v>1496</v>
      </c>
      <c r="B674" s="75" t="s">
        <v>1497</v>
      </c>
      <c r="C674" s="71" t="s">
        <v>3155</v>
      </c>
      <c r="D674" s="72" t="s">
        <v>2831</v>
      </c>
      <c r="E674" s="2008" t="str">
        <f t="shared" si="31"/>
        <v>C8</v>
      </c>
      <c r="F674" s="54">
        <v>2000</v>
      </c>
      <c r="J674" s="54" t="str">
        <f t="shared" si="32"/>
        <v>C8</v>
      </c>
    </row>
    <row r="675" spans="1:10" hidden="1">
      <c r="A675" s="71" t="s">
        <v>1815</v>
      </c>
      <c r="B675" s="75" t="s">
        <v>392</v>
      </c>
      <c r="C675" s="71" t="s">
        <v>3156</v>
      </c>
      <c r="D675" s="72" t="s">
        <v>2831</v>
      </c>
      <c r="E675" s="2008" t="str">
        <f t="shared" si="31"/>
        <v>C1</v>
      </c>
      <c r="F675" s="54">
        <v>2000</v>
      </c>
      <c r="J675" s="54" t="str">
        <f t="shared" si="32"/>
        <v>C10</v>
      </c>
    </row>
    <row r="676" spans="1:10" hidden="1">
      <c r="A676" s="71" t="s">
        <v>456</v>
      </c>
      <c r="B676" s="75" t="s">
        <v>136</v>
      </c>
      <c r="C676" s="71" t="s">
        <v>3157</v>
      </c>
      <c r="D676" s="72" t="s">
        <v>2831</v>
      </c>
      <c r="E676" s="2008" t="str">
        <f t="shared" si="31"/>
        <v>C1</v>
      </c>
      <c r="F676" s="54">
        <v>2000</v>
      </c>
      <c r="J676" s="54" t="str">
        <f t="shared" si="32"/>
        <v>C105</v>
      </c>
    </row>
    <row r="677" spans="1:10" hidden="1">
      <c r="A677" s="71" t="s">
        <v>1614</v>
      </c>
      <c r="B677" s="75" t="s">
        <v>136</v>
      </c>
      <c r="C677" s="71" t="s">
        <v>3158</v>
      </c>
      <c r="D677" s="72" t="s">
        <v>2831</v>
      </c>
      <c r="E677" s="2008" t="str">
        <f t="shared" si="31"/>
        <v>C1</v>
      </c>
      <c r="F677" s="54">
        <v>2000</v>
      </c>
      <c r="J677" s="54" t="str">
        <f t="shared" si="32"/>
        <v>C12</v>
      </c>
    </row>
    <row r="678" spans="1:10" hidden="1">
      <c r="A678" s="1639" t="s">
        <v>1015</v>
      </c>
      <c r="B678" s="75" t="s">
        <v>684</v>
      </c>
      <c r="C678" s="71" t="s">
        <v>3159</v>
      </c>
      <c r="D678" s="72" t="s">
        <v>2831</v>
      </c>
      <c r="E678" s="2008" t="str">
        <f t="shared" si="31"/>
        <v>C1</v>
      </c>
      <c r="F678" s="54">
        <v>2000</v>
      </c>
      <c r="J678" s="54" t="str">
        <f t="shared" si="32"/>
        <v>C14</v>
      </c>
    </row>
    <row r="679" spans="1:10" hidden="1">
      <c r="A679" s="71" t="s">
        <v>2250</v>
      </c>
      <c r="B679" s="75" t="s">
        <v>2251</v>
      </c>
      <c r="C679" s="71" t="s">
        <v>3160</v>
      </c>
      <c r="D679" s="72" t="s">
        <v>2831</v>
      </c>
      <c r="E679" s="2008" t="str">
        <f t="shared" si="31"/>
        <v>C2</v>
      </c>
      <c r="F679" s="54">
        <v>2000</v>
      </c>
      <c r="J679" s="54" t="str">
        <f t="shared" si="32"/>
        <v>C20</v>
      </c>
    </row>
    <row r="680" spans="1:10" hidden="1">
      <c r="A680" s="71" t="s">
        <v>1599</v>
      </c>
      <c r="B680" s="1653" t="s">
        <v>2096</v>
      </c>
      <c r="C680" s="71" t="s">
        <v>3161</v>
      </c>
      <c r="D680" s="72" t="s">
        <v>2831</v>
      </c>
      <c r="E680" s="2008" t="str">
        <f t="shared" si="31"/>
        <v>C8</v>
      </c>
      <c r="F680" s="54">
        <v>2000</v>
      </c>
      <c r="J680" s="54" t="str">
        <f t="shared" si="32"/>
        <v>C8m</v>
      </c>
    </row>
    <row r="681" spans="1:10" hidden="1">
      <c r="A681" s="71" t="s">
        <v>2252</v>
      </c>
      <c r="B681" s="1653" t="s">
        <v>1764</v>
      </c>
      <c r="C681" s="71" t="s">
        <v>3162</v>
      </c>
      <c r="D681" s="72" t="s">
        <v>2831</v>
      </c>
      <c r="E681" s="2008" t="str">
        <f t="shared" si="31"/>
        <v>C1</v>
      </c>
      <c r="F681" s="54">
        <v>2000</v>
      </c>
      <c r="J681" s="54" t="str">
        <f t="shared" si="32"/>
        <v>C10m</v>
      </c>
    </row>
    <row r="682" spans="1:10" hidden="1">
      <c r="A682" s="71" t="s">
        <v>1612</v>
      </c>
      <c r="B682" s="1653" t="s">
        <v>1765</v>
      </c>
      <c r="C682" s="71" t="s">
        <v>3163</v>
      </c>
      <c r="D682" s="72" t="s">
        <v>2831</v>
      </c>
      <c r="E682" s="2008" t="str">
        <f t="shared" si="31"/>
        <v>C1</v>
      </c>
      <c r="F682" s="54">
        <v>2000</v>
      </c>
      <c r="J682" s="54" t="str">
        <f t="shared" si="32"/>
        <v>C105m</v>
      </c>
    </row>
    <row r="683" spans="1:10" hidden="1">
      <c r="A683" s="71" t="s">
        <v>2169</v>
      </c>
      <c r="B683" s="75" t="s">
        <v>1765</v>
      </c>
      <c r="C683" s="71" t="s">
        <v>3164</v>
      </c>
      <c r="D683" s="72" t="s">
        <v>2831</v>
      </c>
      <c r="E683" s="2008" t="str">
        <f t="shared" si="31"/>
        <v>C1</v>
      </c>
      <c r="F683" s="54">
        <v>2000</v>
      </c>
      <c r="J683" s="54" t="str">
        <f t="shared" si="32"/>
        <v>C12m</v>
      </c>
    </row>
    <row r="684" spans="1:10" hidden="1">
      <c r="A684" s="1639" t="s">
        <v>1659</v>
      </c>
      <c r="B684" s="75" t="s">
        <v>1660</v>
      </c>
      <c r="C684" s="71" t="s">
        <v>3165</v>
      </c>
      <c r="D684" s="72" t="s">
        <v>2831</v>
      </c>
      <c r="E684" s="2008" t="str">
        <f t="shared" si="31"/>
        <v>C1</v>
      </c>
      <c r="F684" s="54">
        <v>2000</v>
      </c>
      <c r="J684" s="54" t="str">
        <f t="shared" si="32"/>
        <v>C14m</v>
      </c>
    </row>
    <row r="685" spans="1:10" hidden="1">
      <c r="A685" s="71" t="s">
        <v>1661</v>
      </c>
      <c r="B685" s="75" t="s">
        <v>1662</v>
      </c>
      <c r="C685" s="71" t="s">
        <v>3166</v>
      </c>
      <c r="D685" s="72" t="s">
        <v>2831</v>
      </c>
      <c r="E685" s="2008" t="str">
        <f t="shared" ref="E685:E748" si="33">LEFT(A685,2)</f>
        <v>C2</v>
      </c>
      <c r="F685" s="54">
        <v>2000</v>
      </c>
      <c r="J685" s="54" t="str">
        <f t="shared" si="32"/>
        <v>C20m</v>
      </c>
    </row>
    <row r="686" spans="1:10" hidden="1">
      <c r="A686" s="71" t="s">
        <v>2126</v>
      </c>
      <c r="B686" s="75" t="s">
        <v>2127</v>
      </c>
      <c r="C686" s="71" t="s">
        <v>3167</v>
      </c>
      <c r="D686" s="72" t="s">
        <v>2831</v>
      </c>
      <c r="E686" s="2008" t="str">
        <f t="shared" si="33"/>
        <v>C1</v>
      </c>
      <c r="F686" s="54">
        <v>2000</v>
      </c>
      <c r="J686" s="54" t="str">
        <f t="shared" si="32"/>
        <v>C12m-TBA</v>
      </c>
    </row>
    <row r="687" spans="1:10" hidden="1">
      <c r="A687" s="71" t="s">
        <v>644</v>
      </c>
      <c r="B687" s="75" t="s">
        <v>2127</v>
      </c>
      <c r="C687" s="71" t="s">
        <v>3168</v>
      </c>
      <c r="D687" s="72" t="s">
        <v>2831</v>
      </c>
      <c r="E687" s="2008" t="str">
        <f t="shared" si="33"/>
        <v>C1</v>
      </c>
      <c r="F687" s="54">
        <v>2000</v>
      </c>
      <c r="J687" s="54" t="str">
        <f t="shared" si="32"/>
        <v>C10m-TBA</v>
      </c>
    </row>
    <row r="688" spans="1:10" hidden="1">
      <c r="A688" s="71" t="s">
        <v>1995</v>
      </c>
      <c r="B688" s="75" t="s">
        <v>4453</v>
      </c>
      <c r="C688" s="73" t="s">
        <v>3169</v>
      </c>
      <c r="D688" s="72" t="s">
        <v>2439</v>
      </c>
      <c r="E688" s="2008" t="str">
        <f t="shared" si="33"/>
        <v>LX</v>
      </c>
      <c r="F688" s="54">
        <v>2000</v>
      </c>
      <c r="J688" s="54" t="str">
        <f t="shared" si="32"/>
        <v>LXIT</v>
      </c>
    </row>
    <row r="689" spans="1:10" hidden="1">
      <c r="A689" s="71" t="s">
        <v>516</v>
      </c>
      <c r="B689" s="75" t="s">
        <v>1547</v>
      </c>
      <c r="C689" s="73" t="s">
        <v>3170</v>
      </c>
      <c r="D689" s="72" t="s">
        <v>2439</v>
      </c>
      <c r="E689" s="2008" t="str">
        <f t="shared" si="33"/>
        <v>LX</v>
      </c>
      <c r="F689" s="54">
        <v>2000</v>
      </c>
      <c r="J689" s="54" t="str">
        <f t="shared" si="32"/>
        <v>LXITL</v>
      </c>
    </row>
    <row r="690" spans="1:10" hidden="1">
      <c r="A690" s="71" t="s">
        <v>2007</v>
      </c>
      <c r="B690" s="75" t="s">
        <v>818</v>
      </c>
      <c r="C690" s="73" t="s">
        <v>3171</v>
      </c>
      <c r="D690" s="72" t="s">
        <v>2439</v>
      </c>
      <c r="E690" s="2008" t="str">
        <f t="shared" si="33"/>
        <v>LX</v>
      </c>
      <c r="F690" s="54">
        <v>2000</v>
      </c>
      <c r="J690" s="54" t="str">
        <f t="shared" si="32"/>
        <v>LXINN</v>
      </c>
    </row>
    <row r="691" spans="1:10" hidden="1">
      <c r="A691" s="71" t="s">
        <v>1998</v>
      </c>
      <c r="B691" s="75" t="s">
        <v>1548</v>
      </c>
      <c r="C691" s="73" t="s">
        <v>3172</v>
      </c>
      <c r="D691" s="72" t="s">
        <v>2439</v>
      </c>
      <c r="E691" s="2008" t="str">
        <f t="shared" si="33"/>
        <v>LX</v>
      </c>
      <c r="F691" s="54">
        <v>2000</v>
      </c>
      <c r="J691" s="54" t="str">
        <f t="shared" si="32"/>
        <v>LXIN</v>
      </c>
    </row>
    <row r="692" spans="1:10">
      <c r="A692" s="71" t="s">
        <v>517</v>
      </c>
      <c r="B692" s="75" t="s">
        <v>1872</v>
      </c>
      <c r="C692" s="73" t="s">
        <v>3173</v>
      </c>
      <c r="D692" s="72" t="s">
        <v>2439</v>
      </c>
      <c r="E692" s="2008" t="str">
        <f t="shared" si="33"/>
        <v>LX</v>
      </c>
      <c r="F692" s="54">
        <v>2000</v>
      </c>
      <c r="J692" s="54" t="str">
        <f t="shared" si="32"/>
        <v>LXINL</v>
      </c>
    </row>
    <row r="693" spans="1:10" hidden="1">
      <c r="A693" s="71" t="s">
        <v>1879</v>
      </c>
      <c r="B693" s="75" t="s">
        <v>1881</v>
      </c>
      <c r="C693" s="73" t="s">
        <v>3174</v>
      </c>
      <c r="D693" s="72" t="s">
        <v>2439</v>
      </c>
      <c r="E693" s="2008" t="str">
        <f t="shared" si="33"/>
        <v>LX</v>
      </c>
      <c r="F693" s="54">
        <v>2000</v>
      </c>
      <c r="J693" s="54" t="str">
        <f t="shared" si="32"/>
        <v>LXID</v>
      </c>
    </row>
    <row r="694" spans="1:10" hidden="1">
      <c r="A694" s="71" t="s">
        <v>1880</v>
      </c>
      <c r="B694" s="75" t="s">
        <v>1882</v>
      </c>
      <c r="C694" s="73" t="s">
        <v>3175</v>
      </c>
      <c r="D694" s="72" t="s">
        <v>2439</v>
      </c>
      <c r="E694" s="2008" t="str">
        <f t="shared" si="33"/>
        <v>LX</v>
      </c>
      <c r="F694" s="54">
        <v>2000</v>
      </c>
      <c r="J694" s="54" t="str">
        <f t="shared" si="32"/>
        <v>LXIDL</v>
      </c>
    </row>
    <row r="695" spans="1:10" hidden="1">
      <c r="A695" s="71" t="s">
        <v>2242</v>
      </c>
      <c r="B695" s="75" t="s">
        <v>1760</v>
      </c>
      <c r="C695" s="73" t="s">
        <v>2440</v>
      </c>
      <c r="D695" s="72" t="s">
        <v>2439</v>
      </c>
      <c r="E695" s="2008" t="str">
        <f t="shared" si="33"/>
        <v>LX</v>
      </c>
      <c r="F695" s="54">
        <v>2000</v>
      </c>
      <c r="J695" s="54" t="str">
        <f t="shared" si="32"/>
        <v>LXHN1</v>
      </c>
    </row>
    <row r="696" spans="1:10" hidden="1">
      <c r="A696" s="71" t="s">
        <v>967</v>
      </c>
      <c r="B696" s="75" t="s">
        <v>1080</v>
      </c>
      <c r="C696" s="73" t="s">
        <v>3176</v>
      </c>
      <c r="D696" s="72" t="s">
        <v>2439</v>
      </c>
      <c r="E696" s="2008" t="str">
        <f t="shared" si="33"/>
        <v>LX</v>
      </c>
      <c r="F696" s="54">
        <v>2000</v>
      </c>
      <c r="J696" s="54" t="str">
        <f t="shared" si="32"/>
        <v>LXHN2</v>
      </c>
    </row>
    <row r="697" spans="1:10" hidden="1">
      <c r="A697" s="71" t="s">
        <v>680</v>
      </c>
      <c r="B697" s="75" t="s">
        <v>1549</v>
      </c>
      <c r="C697" s="73" t="s">
        <v>3177</v>
      </c>
      <c r="D697" s="72" t="s">
        <v>2439</v>
      </c>
      <c r="E697" s="2008" t="str">
        <f t="shared" si="33"/>
        <v>LX</v>
      </c>
      <c r="F697" s="54">
        <v>2000</v>
      </c>
      <c r="J697" s="54" t="str">
        <f t="shared" si="32"/>
        <v>LXHN3</v>
      </c>
    </row>
    <row r="698" spans="1:10" hidden="1">
      <c r="A698" s="71" t="s">
        <v>1589</v>
      </c>
      <c r="B698" s="75" t="s">
        <v>1590</v>
      </c>
      <c r="C698" s="73" t="s">
        <v>3178</v>
      </c>
      <c r="D698" s="72" t="s">
        <v>2555</v>
      </c>
      <c r="E698" s="2008" t="str">
        <f t="shared" si="33"/>
        <v>LD</v>
      </c>
      <c r="F698" s="54">
        <v>2000</v>
      </c>
      <c r="J698" s="54" t="str">
        <f t="shared" si="32"/>
        <v>LDAUCAP70</v>
      </c>
    </row>
    <row r="699" spans="1:10" hidden="1">
      <c r="A699" s="71" t="s">
        <v>1588</v>
      </c>
      <c r="B699" s="75" t="s">
        <v>40</v>
      </c>
      <c r="C699" s="73" t="s">
        <v>3179</v>
      </c>
      <c r="D699" s="72" t="s">
        <v>2555</v>
      </c>
      <c r="E699" s="2008" t="str">
        <f t="shared" si="33"/>
        <v>LD</v>
      </c>
      <c r="F699" s="54">
        <v>2000</v>
      </c>
      <c r="J699" s="54" t="str">
        <f t="shared" si="32"/>
        <v>LDAUCAP120</v>
      </c>
    </row>
    <row r="700" spans="1:10" hidden="1">
      <c r="A700" s="71" t="s">
        <v>39</v>
      </c>
      <c r="B700" s="75" t="s">
        <v>942</v>
      </c>
      <c r="C700" s="73" t="s">
        <v>3180</v>
      </c>
      <c r="D700" s="72" t="s">
        <v>2555</v>
      </c>
      <c r="E700" s="2008" t="str">
        <f t="shared" si="33"/>
        <v>LD</v>
      </c>
      <c r="F700" s="54">
        <v>2000</v>
      </c>
      <c r="J700" s="54" t="str">
        <f t="shared" si="32"/>
        <v>LDAUCAP185</v>
      </c>
    </row>
    <row r="701" spans="1:10" hidden="1">
      <c r="A701" s="71" t="s">
        <v>307</v>
      </c>
      <c r="B701" s="75" t="s">
        <v>551</v>
      </c>
      <c r="C701" s="73" t="s">
        <v>3181</v>
      </c>
      <c r="D701" s="72" t="s">
        <v>2555</v>
      </c>
      <c r="E701" s="2008" t="str">
        <f t="shared" si="33"/>
        <v>LD</v>
      </c>
      <c r="F701" s="54">
        <v>2000</v>
      </c>
      <c r="J701" s="54" t="str">
        <f t="shared" si="32"/>
        <v>LDAUCAP70HT</v>
      </c>
    </row>
    <row r="702" spans="1:10" hidden="1">
      <c r="A702" s="71" t="s">
        <v>308</v>
      </c>
      <c r="B702" s="75" t="s">
        <v>1778</v>
      </c>
      <c r="C702" s="73" t="s">
        <v>3182</v>
      </c>
      <c r="D702" s="72" t="s">
        <v>2555</v>
      </c>
      <c r="E702" s="2008" t="str">
        <f t="shared" si="33"/>
        <v>LD</v>
      </c>
      <c r="F702" s="54">
        <v>2000</v>
      </c>
      <c r="J702" s="54" t="str">
        <f t="shared" si="32"/>
        <v>LDAUCAP120HT</v>
      </c>
    </row>
    <row r="703" spans="1:10" hidden="1">
      <c r="A703" s="71" t="s">
        <v>309</v>
      </c>
      <c r="B703" s="75" t="s">
        <v>148</v>
      </c>
      <c r="C703" s="73" t="s">
        <v>3183</v>
      </c>
      <c r="D703" s="72" t="s">
        <v>2555</v>
      </c>
      <c r="E703" s="2008" t="str">
        <f t="shared" si="33"/>
        <v>LD</v>
      </c>
      <c r="F703" s="54">
        <v>2000</v>
      </c>
      <c r="J703" s="54" t="str">
        <f t="shared" si="32"/>
        <v>LDAUCAP185HT</v>
      </c>
    </row>
    <row r="704" spans="1:10" hidden="1">
      <c r="A704" s="71" t="s">
        <v>681</v>
      </c>
      <c r="B704" s="75" t="s">
        <v>682</v>
      </c>
      <c r="C704" s="71" t="s">
        <v>5466</v>
      </c>
      <c r="D704" s="72" t="s">
        <v>2555</v>
      </c>
      <c r="E704" s="2008" t="str">
        <f t="shared" si="33"/>
        <v>XL</v>
      </c>
      <c r="F704" s="54">
        <v>2000</v>
      </c>
      <c r="J704" s="54" t="str">
        <f t="shared" si="32"/>
        <v>XLCD</v>
      </c>
    </row>
    <row r="705" spans="1:10" hidden="1">
      <c r="A705" s="71" t="s">
        <v>971</v>
      </c>
      <c r="B705" s="75"/>
      <c r="C705" s="73" t="s">
        <v>3184</v>
      </c>
      <c r="D705" s="72"/>
      <c r="E705" s="2008" t="str">
        <f t="shared" si="33"/>
        <v>LB</v>
      </c>
      <c r="F705" s="54">
        <v>2000</v>
      </c>
      <c r="J705" s="54" t="str">
        <f t="shared" si="32"/>
        <v>LBAKE</v>
      </c>
    </row>
    <row r="706" spans="1:10" hidden="1">
      <c r="A706" s="71" t="s">
        <v>970</v>
      </c>
      <c r="B706" s="75"/>
      <c r="C706" s="73" t="s">
        <v>3185</v>
      </c>
      <c r="D706" s="72"/>
      <c r="E706" s="2008" t="str">
        <f t="shared" si="33"/>
        <v>LC</v>
      </c>
      <c r="F706" s="54">
        <v>2000</v>
      </c>
      <c r="J706" s="54" t="str">
        <f t="shared" si="32"/>
        <v>LCHI</v>
      </c>
    </row>
    <row r="707" spans="1:10" hidden="1">
      <c r="A707" s="71" t="s">
        <v>348</v>
      </c>
      <c r="B707" s="75" t="s">
        <v>1754</v>
      </c>
      <c r="C707" s="73" t="s">
        <v>3186</v>
      </c>
      <c r="D707" s="72" t="s">
        <v>2555</v>
      </c>
      <c r="E707" s="2008" t="str">
        <f t="shared" si="33"/>
        <v>LC</v>
      </c>
      <c r="F707" s="54">
        <v>2000</v>
      </c>
      <c r="J707" s="54" t="str">
        <f t="shared" si="32"/>
        <v>LCSD</v>
      </c>
    </row>
    <row r="708" spans="1:10" hidden="1">
      <c r="A708" s="71" t="s">
        <v>1906</v>
      </c>
      <c r="B708" s="75" t="s">
        <v>1457</v>
      </c>
      <c r="C708" s="73" t="s">
        <v>3187</v>
      </c>
      <c r="D708" s="72" t="s">
        <v>2439</v>
      </c>
      <c r="E708" s="2008" t="str">
        <f t="shared" si="33"/>
        <v>LC</v>
      </c>
      <c r="F708" s="54">
        <v>2000</v>
      </c>
      <c r="J708" s="54" t="str">
        <f t="shared" si="32"/>
        <v>LCL</v>
      </c>
    </row>
    <row r="709" spans="1:10" hidden="1">
      <c r="A709" s="71" t="s">
        <v>1918</v>
      </c>
      <c r="B709" s="75" t="s">
        <v>1766</v>
      </c>
      <c r="C709" s="73" t="s">
        <v>3188</v>
      </c>
      <c r="D709" s="72" t="s">
        <v>2439</v>
      </c>
      <c r="E709" s="2008" t="str">
        <f t="shared" si="33"/>
        <v>LD</v>
      </c>
      <c r="F709" s="54">
        <v>2000</v>
      </c>
      <c r="J709" s="54" t="str">
        <f t="shared" si="32"/>
        <v>LDN</v>
      </c>
    </row>
    <row r="710" spans="1:10" hidden="1">
      <c r="A710" s="71" t="s">
        <v>1961</v>
      </c>
      <c r="B710" s="75" t="s">
        <v>220</v>
      </c>
      <c r="C710" s="73" t="s">
        <v>3189</v>
      </c>
      <c r="D710" s="72" t="s">
        <v>2555</v>
      </c>
      <c r="E710" s="2008" t="str">
        <f t="shared" si="33"/>
        <v>NX</v>
      </c>
      <c r="F710" s="54">
        <v>2000</v>
      </c>
      <c r="J710" s="54" t="str">
        <f t="shared" si="32"/>
        <v>NXOE</v>
      </c>
    </row>
    <row r="711" spans="1:10" hidden="1">
      <c r="A711" s="71" t="s">
        <v>2132</v>
      </c>
      <c r="B711" s="75" t="s">
        <v>220</v>
      </c>
      <c r="C711" s="73" t="s">
        <v>3190</v>
      </c>
      <c r="D711" s="72" t="s">
        <v>2555</v>
      </c>
      <c r="E711" s="2008" t="str">
        <f t="shared" si="33"/>
        <v>LD</v>
      </c>
      <c r="F711" s="54">
        <v>2000</v>
      </c>
      <c r="J711" s="54" t="str">
        <f t="shared" si="32"/>
        <v>LDN0212</v>
      </c>
    </row>
    <row r="712" spans="1:10" hidden="1">
      <c r="A712" s="71" t="s">
        <v>2133</v>
      </c>
      <c r="B712" s="75" t="s">
        <v>220</v>
      </c>
      <c r="C712" s="73" t="s">
        <v>3191</v>
      </c>
      <c r="D712" s="72" t="s">
        <v>2555</v>
      </c>
      <c r="E712" s="2008" t="str">
        <f t="shared" si="33"/>
        <v>LD</v>
      </c>
      <c r="F712" s="54">
        <v>2000</v>
      </c>
      <c r="J712" s="54" t="str">
        <f t="shared" si="32"/>
        <v>LDN0412</v>
      </c>
    </row>
    <row r="713" spans="1:10" hidden="1">
      <c r="A713" s="71" t="s">
        <v>1180</v>
      </c>
      <c r="B713" s="75" t="s">
        <v>1558</v>
      </c>
      <c r="C713" s="73" t="s">
        <v>3192</v>
      </c>
      <c r="D713" s="72" t="s">
        <v>2555</v>
      </c>
      <c r="E713" s="2008" t="str">
        <f t="shared" si="33"/>
        <v>LD</v>
      </c>
      <c r="F713" s="54">
        <v>2000</v>
      </c>
      <c r="J713" s="54" t="str">
        <f t="shared" si="32"/>
        <v>LDN0415</v>
      </c>
    </row>
    <row r="714" spans="1:10" hidden="1">
      <c r="A714" s="71" t="s">
        <v>1181</v>
      </c>
      <c r="B714" s="75" t="s">
        <v>1558</v>
      </c>
      <c r="C714" s="73" t="s">
        <v>3193</v>
      </c>
      <c r="D714" s="72" t="s">
        <v>2555</v>
      </c>
      <c r="E714" s="2008" t="str">
        <f t="shared" si="33"/>
        <v>LD</v>
      </c>
      <c r="F714" s="54">
        <v>2000</v>
      </c>
      <c r="J714" s="54" t="str">
        <f t="shared" si="32"/>
        <v>LDN0615</v>
      </c>
    </row>
    <row r="715" spans="1:10" hidden="1">
      <c r="A715" s="71" t="s">
        <v>604</v>
      </c>
      <c r="B715" s="75" t="s">
        <v>220</v>
      </c>
      <c r="C715" s="73" t="s">
        <v>3194</v>
      </c>
      <c r="D715" s="72" t="s">
        <v>2555</v>
      </c>
      <c r="E715" s="2008" t="str">
        <f t="shared" si="33"/>
        <v>LD</v>
      </c>
      <c r="F715" s="54">
        <v>2000</v>
      </c>
      <c r="J715" s="54" t="str">
        <f t="shared" si="32"/>
        <v>LDN4</v>
      </c>
    </row>
    <row r="716" spans="1:10" hidden="1">
      <c r="A716" s="71" t="s">
        <v>1907</v>
      </c>
      <c r="B716" s="75" t="s">
        <v>1558</v>
      </c>
      <c r="C716" s="73" t="s">
        <v>3195</v>
      </c>
      <c r="D716" s="72" t="s">
        <v>2555</v>
      </c>
      <c r="E716" s="2008" t="str">
        <f t="shared" si="33"/>
        <v>LD</v>
      </c>
      <c r="F716" s="54">
        <v>2000</v>
      </c>
      <c r="J716" s="54" t="str">
        <f t="shared" si="32"/>
        <v>LDN6</v>
      </c>
    </row>
    <row r="717" spans="1:10">
      <c r="A717" s="71" t="s">
        <v>1955</v>
      </c>
      <c r="B717" s="75" t="s">
        <v>1386</v>
      </c>
      <c r="C717" s="73" t="s">
        <v>3196</v>
      </c>
      <c r="D717" s="72" t="s">
        <v>856</v>
      </c>
      <c r="E717" s="2008" t="str">
        <f t="shared" si="33"/>
        <v>DB</v>
      </c>
      <c r="F717" s="54">
        <v>2000</v>
      </c>
      <c r="J717" s="54" t="str">
        <f t="shared" si="32"/>
        <v>DBT10046</v>
      </c>
    </row>
    <row r="718" spans="1:10" hidden="1">
      <c r="A718" s="71" t="s">
        <v>1835</v>
      </c>
      <c r="B718" s="75" t="s">
        <v>1762</v>
      </c>
      <c r="C718" s="73" t="s">
        <v>3197</v>
      </c>
      <c r="D718" s="72" t="s">
        <v>856</v>
      </c>
      <c r="E718" s="2008" t="str">
        <f t="shared" si="33"/>
        <v>DB</v>
      </c>
      <c r="F718" s="54">
        <v>2000</v>
      </c>
      <c r="J718" s="54" t="str">
        <f t="shared" si="32"/>
        <v>DBT15012</v>
      </c>
    </row>
    <row r="719" spans="1:10" hidden="1">
      <c r="A719" s="71" t="s">
        <v>1836</v>
      </c>
      <c r="B719" s="1653" t="s">
        <v>1761</v>
      </c>
      <c r="C719" s="73" t="s">
        <v>3198</v>
      </c>
      <c r="D719" s="72" t="s">
        <v>856</v>
      </c>
      <c r="E719" s="2008" t="str">
        <f t="shared" si="33"/>
        <v>DB</v>
      </c>
      <c r="F719" s="54">
        <v>2000</v>
      </c>
      <c r="J719" s="54" t="str">
        <f t="shared" si="32"/>
        <v>DBT20012</v>
      </c>
    </row>
    <row r="720" spans="1:10" hidden="1">
      <c r="A720" s="71" t="s">
        <v>9</v>
      </c>
      <c r="B720" s="75" t="s">
        <v>1775</v>
      </c>
      <c r="C720" s="73" t="s">
        <v>3199</v>
      </c>
      <c r="D720" s="72" t="s">
        <v>2248</v>
      </c>
      <c r="E720" s="2008" t="str">
        <f t="shared" si="33"/>
        <v>LC</v>
      </c>
      <c r="F720" s="54">
        <v>2000</v>
      </c>
      <c r="J720" s="54" t="str">
        <f t="shared" si="32"/>
        <v>LCT10</v>
      </c>
    </row>
    <row r="721" spans="1:10" hidden="1">
      <c r="A721" s="71" t="s">
        <v>585</v>
      </c>
      <c r="B721" s="75" t="s">
        <v>886</v>
      </c>
      <c r="C721" s="73" t="s">
        <v>3200</v>
      </c>
      <c r="D721" s="72" t="s">
        <v>2248</v>
      </c>
      <c r="E721" s="2008" t="str">
        <f t="shared" si="33"/>
        <v>LC</v>
      </c>
      <c r="F721" s="54">
        <v>2000</v>
      </c>
      <c r="J721" s="54" t="str">
        <f t="shared" si="32"/>
        <v>LCT18</v>
      </c>
    </row>
    <row r="722" spans="1:10" hidden="1">
      <c r="A722" s="71" t="s">
        <v>1807</v>
      </c>
      <c r="B722" s="75" t="s">
        <v>1808</v>
      </c>
      <c r="C722" s="73" t="s">
        <v>3201</v>
      </c>
      <c r="D722" s="72" t="s">
        <v>2248</v>
      </c>
      <c r="E722" s="2008" t="str">
        <f t="shared" si="33"/>
        <v>LC</v>
      </c>
      <c r="F722" s="54">
        <v>2000</v>
      </c>
      <c r="J722" s="54" t="str">
        <f t="shared" si="32"/>
        <v>LCT&gt;18</v>
      </c>
    </row>
    <row r="723" spans="1:10" hidden="1">
      <c r="A723" s="71" t="s">
        <v>10</v>
      </c>
      <c r="B723" s="75" t="s">
        <v>53</v>
      </c>
      <c r="C723" s="73" t="s">
        <v>3202</v>
      </c>
      <c r="D723" s="72" t="s">
        <v>1960</v>
      </c>
      <c r="E723" s="2008" t="str">
        <f t="shared" si="33"/>
        <v>LD</v>
      </c>
      <c r="F723" s="54">
        <v>2000</v>
      </c>
      <c r="J723" s="54" t="str">
        <f t="shared" si="32"/>
        <v>LDVANK</v>
      </c>
    </row>
    <row r="724" spans="1:10" hidden="1">
      <c r="A724" s="71" t="s">
        <v>1962</v>
      </c>
      <c r="B724" s="75" t="s">
        <v>1402</v>
      </c>
      <c r="C724" s="73" t="s">
        <v>3203</v>
      </c>
      <c r="D724" s="72" t="s">
        <v>2037</v>
      </c>
      <c r="E724" s="2008" t="str">
        <f t="shared" si="33"/>
        <v>KD</v>
      </c>
      <c r="F724" s="54">
        <v>2000</v>
      </c>
      <c r="J724" s="54" t="str">
        <f t="shared" si="32"/>
        <v>KDA35</v>
      </c>
    </row>
    <row r="725" spans="1:10" hidden="1">
      <c r="A725" s="71" t="s">
        <v>1403</v>
      </c>
      <c r="B725" s="75" t="s">
        <v>1625</v>
      </c>
      <c r="C725" s="73" t="s">
        <v>3204</v>
      </c>
      <c r="D725" s="72" t="s">
        <v>2037</v>
      </c>
      <c r="E725" s="2008" t="str">
        <f t="shared" si="33"/>
        <v>KD</v>
      </c>
      <c r="F725" s="54">
        <v>2000</v>
      </c>
      <c r="J725" s="54" t="str">
        <f t="shared" si="32"/>
        <v>KDA50</v>
      </c>
    </row>
    <row r="726" spans="1:10" hidden="1">
      <c r="A726" s="71" t="s">
        <v>619</v>
      </c>
      <c r="B726" s="75" t="s">
        <v>620</v>
      </c>
      <c r="C726" s="73" t="s">
        <v>3205</v>
      </c>
      <c r="D726" s="72" t="s">
        <v>2037</v>
      </c>
      <c r="E726" s="2008" t="str">
        <f t="shared" si="33"/>
        <v>KD</v>
      </c>
      <c r="F726" s="54">
        <v>2000</v>
      </c>
      <c r="J726" s="54" t="str">
        <f t="shared" si="32"/>
        <v>KDA70</v>
      </c>
    </row>
    <row r="727" spans="1:10" hidden="1">
      <c r="A727" s="71" t="s">
        <v>2243</v>
      </c>
      <c r="B727" s="75" t="s">
        <v>1162</v>
      </c>
      <c r="C727" s="73" t="s">
        <v>3206</v>
      </c>
      <c r="D727" s="72" t="s">
        <v>2037</v>
      </c>
      <c r="E727" s="2008" t="str">
        <f t="shared" si="33"/>
        <v>KD</v>
      </c>
      <c r="F727" s="54">
        <v>2000</v>
      </c>
      <c r="J727" s="54" t="str">
        <f t="shared" ref="J727:J790" si="34">A727</f>
        <v>KDA95</v>
      </c>
    </row>
    <row r="728" spans="1:10" hidden="1">
      <c r="A728" s="71" t="s">
        <v>1166</v>
      </c>
      <c r="B728" s="75" t="s">
        <v>1522</v>
      </c>
      <c r="C728" s="73" t="s">
        <v>3207</v>
      </c>
      <c r="D728" s="72" t="s">
        <v>2037</v>
      </c>
      <c r="E728" s="2008" t="str">
        <f t="shared" si="33"/>
        <v>KD</v>
      </c>
      <c r="F728" s="54">
        <v>2000</v>
      </c>
      <c r="J728" s="54" t="str">
        <f t="shared" si="34"/>
        <v>KDA35B</v>
      </c>
    </row>
    <row r="729" spans="1:10" hidden="1">
      <c r="A729" s="71" t="s">
        <v>451</v>
      </c>
      <c r="B729" s="75" t="s">
        <v>1625</v>
      </c>
      <c r="C729" s="73" t="s">
        <v>3208</v>
      </c>
      <c r="D729" s="72" t="s">
        <v>2037</v>
      </c>
      <c r="E729" s="2008" t="str">
        <f t="shared" si="33"/>
        <v>KD</v>
      </c>
      <c r="F729" s="54">
        <v>2000</v>
      </c>
      <c r="J729" s="54" t="str">
        <f t="shared" si="34"/>
        <v>KDA50B</v>
      </c>
    </row>
    <row r="730" spans="1:10" hidden="1">
      <c r="A730" s="71" t="s">
        <v>79</v>
      </c>
      <c r="B730" s="75" t="s">
        <v>1523</v>
      </c>
      <c r="C730" s="73" t="s">
        <v>3209</v>
      </c>
      <c r="D730" s="72" t="s">
        <v>2037</v>
      </c>
      <c r="E730" s="2008" t="str">
        <f t="shared" si="33"/>
        <v>KD</v>
      </c>
      <c r="F730" s="54">
        <v>2000</v>
      </c>
      <c r="J730" s="54" t="str">
        <f t="shared" si="34"/>
        <v>KDA70B</v>
      </c>
    </row>
    <row r="731" spans="1:10" hidden="1">
      <c r="A731" s="71" t="s">
        <v>1509</v>
      </c>
      <c r="B731" s="75" t="s">
        <v>2035</v>
      </c>
      <c r="C731" s="73" t="s">
        <v>3210</v>
      </c>
      <c r="D731" s="72" t="s">
        <v>2037</v>
      </c>
      <c r="E731" s="2008" t="str">
        <f t="shared" si="33"/>
        <v>KD</v>
      </c>
      <c r="F731" s="54">
        <v>2000</v>
      </c>
      <c r="J731" s="54" t="str">
        <f t="shared" si="34"/>
        <v>KDA95B</v>
      </c>
    </row>
    <row r="732" spans="1:10" hidden="1">
      <c r="A732" s="71" t="s">
        <v>1174</v>
      </c>
      <c r="B732" s="75" t="s">
        <v>1163</v>
      </c>
      <c r="C732" s="73" t="s">
        <v>3211</v>
      </c>
      <c r="D732" s="72" t="s">
        <v>2037</v>
      </c>
      <c r="E732" s="2008" t="str">
        <f t="shared" si="33"/>
        <v>KD</v>
      </c>
      <c r="F732" s="54">
        <v>2000</v>
      </c>
      <c r="J732" s="54" t="str">
        <f t="shared" si="34"/>
        <v>KDA120B</v>
      </c>
    </row>
    <row r="733" spans="1:10" hidden="1">
      <c r="A733" s="71" t="s">
        <v>924</v>
      </c>
      <c r="B733" s="75" t="s">
        <v>792</v>
      </c>
      <c r="C733" s="73" t="s">
        <v>3212</v>
      </c>
      <c r="D733" s="72" t="s">
        <v>2037</v>
      </c>
      <c r="E733" s="2008" t="str">
        <f t="shared" si="33"/>
        <v>KD</v>
      </c>
      <c r="F733" s="54">
        <v>2000</v>
      </c>
      <c r="J733" s="54" t="str">
        <f t="shared" si="34"/>
        <v>KDA150B</v>
      </c>
    </row>
    <row r="734" spans="1:10" hidden="1">
      <c r="A734" s="71" t="s">
        <v>925</v>
      </c>
      <c r="B734" s="75" t="s">
        <v>1164</v>
      </c>
      <c r="C734" s="73" t="s">
        <v>3213</v>
      </c>
      <c r="D734" s="72" t="s">
        <v>2037</v>
      </c>
      <c r="E734" s="2008" t="str">
        <f t="shared" si="33"/>
        <v>KD</v>
      </c>
      <c r="F734" s="54">
        <v>2000</v>
      </c>
      <c r="J734" s="54" t="str">
        <f t="shared" si="34"/>
        <v>KDA185B</v>
      </c>
    </row>
    <row r="735" spans="1:10" hidden="1">
      <c r="A735" s="71" t="s">
        <v>1441</v>
      </c>
      <c r="B735" s="75" t="s">
        <v>1165</v>
      </c>
      <c r="C735" s="73" t="s">
        <v>3214</v>
      </c>
      <c r="D735" s="72" t="s">
        <v>2037</v>
      </c>
      <c r="E735" s="2008" t="str">
        <f t="shared" si="33"/>
        <v>KD</v>
      </c>
      <c r="F735" s="54">
        <v>2000</v>
      </c>
      <c r="J735" s="54" t="str">
        <f t="shared" si="34"/>
        <v>KDA240B</v>
      </c>
    </row>
    <row r="736" spans="1:10" hidden="1">
      <c r="A736" s="1654" t="s">
        <v>2222</v>
      </c>
      <c r="B736" s="75" t="s">
        <v>783</v>
      </c>
      <c r="C736" s="73" t="s">
        <v>3215</v>
      </c>
      <c r="D736" s="72" t="s">
        <v>2037</v>
      </c>
      <c r="E736" s="2008" t="str">
        <f t="shared" si="33"/>
        <v>KD</v>
      </c>
      <c r="F736" s="54">
        <v>2000</v>
      </c>
      <c r="J736" s="54" t="str">
        <f t="shared" si="34"/>
        <v>KDAABC150</v>
      </c>
    </row>
    <row r="737" spans="1:10" hidden="1">
      <c r="A737" s="1654" t="s">
        <v>863</v>
      </c>
      <c r="B737" s="75" t="s">
        <v>783</v>
      </c>
      <c r="C737" s="73" t="s">
        <v>3216</v>
      </c>
      <c r="D737" s="72" t="s">
        <v>2037</v>
      </c>
      <c r="E737" s="2008" t="str">
        <f t="shared" si="33"/>
        <v>KD</v>
      </c>
      <c r="F737" s="54">
        <v>2000</v>
      </c>
      <c r="J737" s="54" t="str">
        <f t="shared" si="34"/>
        <v>KDAABC120</v>
      </c>
    </row>
    <row r="738" spans="1:10" hidden="1">
      <c r="A738" s="1654" t="s">
        <v>864</v>
      </c>
      <c r="B738" s="75" t="s">
        <v>784</v>
      </c>
      <c r="C738" s="73" t="s">
        <v>4322</v>
      </c>
      <c r="D738" s="72" t="s">
        <v>2037</v>
      </c>
      <c r="E738" s="2008" t="str">
        <f t="shared" si="33"/>
        <v>KD</v>
      </c>
      <c r="F738" s="54">
        <v>2000</v>
      </c>
      <c r="J738" s="54" t="str">
        <f t="shared" si="34"/>
        <v>KDAABC95</v>
      </c>
    </row>
    <row r="739" spans="1:10" hidden="1">
      <c r="A739" s="1654" t="s">
        <v>865</v>
      </c>
      <c r="B739" s="1653" t="s">
        <v>2097</v>
      </c>
      <c r="C739" s="73" t="s">
        <v>3217</v>
      </c>
      <c r="D739" s="72" t="s">
        <v>2037</v>
      </c>
      <c r="E739" s="2008" t="str">
        <f t="shared" si="33"/>
        <v>KD</v>
      </c>
      <c r="F739" s="54">
        <v>2000</v>
      </c>
      <c r="J739" s="54" t="str">
        <f t="shared" si="34"/>
        <v>KDAABC70</v>
      </c>
    </row>
    <row r="740" spans="1:10" hidden="1">
      <c r="A740" s="1654" t="s">
        <v>866</v>
      </c>
      <c r="B740" s="75" t="s">
        <v>1769</v>
      </c>
      <c r="C740" s="73" t="s">
        <v>3218</v>
      </c>
      <c r="D740" s="72" t="s">
        <v>2037</v>
      </c>
      <c r="E740" s="2008" t="str">
        <f t="shared" si="33"/>
        <v>KD</v>
      </c>
      <c r="F740" s="54">
        <v>2000</v>
      </c>
      <c r="J740" s="54" t="str">
        <f t="shared" si="34"/>
        <v>KDAABC50</v>
      </c>
    </row>
    <row r="741" spans="1:10" hidden="1">
      <c r="A741" s="71" t="s">
        <v>1521</v>
      </c>
      <c r="B741" s="75" t="s">
        <v>1522</v>
      </c>
      <c r="C741" s="73" t="s">
        <v>3219</v>
      </c>
      <c r="D741" s="72" t="s">
        <v>2037</v>
      </c>
      <c r="E741" s="2008" t="str">
        <f t="shared" si="33"/>
        <v>KD</v>
      </c>
      <c r="F741" s="54">
        <v>2000</v>
      </c>
      <c r="J741" s="54" t="str">
        <f t="shared" si="34"/>
        <v>KDAC35</v>
      </c>
    </row>
    <row r="742" spans="1:10" hidden="1">
      <c r="A742" s="71" t="s">
        <v>1269</v>
      </c>
      <c r="B742" s="75" t="s">
        <v>1767</v>
      </c>
      <c r="C742" s="73" t="s">
        <v>3220</v>
      </c>
      <c r="D742" s="72" t="s">
        <v>2037</v>
      </c>
      <c r="E742" s="2008" t="str">
        <f t="shared" si="33"/>
        <v>KD</v>
      </c>
      <c r="F742" s="54">
        <v>2000</v>
      </c>
      <c r="J742" s="54" t="str">
        <f t="shared" si="34"/>
        <v>KDAC50</v>
      </c>
    </row>
    <row r="743" spans="1:10" hidden="1">
      <c r="A743" s="71" t="s">
        <v>1414</v>
      </c>
      <c r="B743" s="75" t="s">
        <v>1523</v>
      </c>
      <c r="C743" s="73" t="s">
        <v>3221</v>
      </c>
      <c r="D743" s="72" t="s">
        <v>2037</v>
      </c>
      <c r="E743" s="2008" t="str">
        <f t="shared" si="33"/>
        <v>KD</v>
      </c>
      <c r="F743" s="54">
        <v>2000</v>
      </c>
      <c r="J743" s="54" t="str">
        <f t="shared" si="34"/>
        <v>KDAC70</v>
      </c>
    </row>
    <row r="744" spans="1:10" hidden="1">
      <c r="A744" s="71" t="s">
        <v>1524</v>
      </c>
      <c r="B744" s="75" t="s">
        <v>2035</v>
      </c>
      <c r="C744" s="73" t="s">
        <v>3222</v>
      </c>
      <c r="D744" s="72" t="s">
        <v>2037</v>
      </c>
      <c r="E744" s="2008" t="str">
        <f t="shared" si="33"/>
        <v>KD</v>
      </c>
      <c r="F744" s="54">
        <v>2000</v>
      </c>
      <c r="J744" s="54" t="str">
        <f t="shared" si="34"/>
        <v>KDAC95</v>
      </c>
    </row>
    <row r="745" spans="1:10" hidden="1">
      <c r="A745" s="71" t="s">
        <v>139</v>
      </c>
      <c r="B745" s="75" t="s">
        <v>1163</v>
      </c>
      <c r="C745" s="73" t="s">
        <v>3223</v>
      </c>
      <c r="D745" s="72" t="s">
        <v>2037</v>
      </c>
      <c r="E745" s="2008" t="str">
        <f t="shared" si="33"/>
        <v>KD</v>
      </c>
      <c r="F745" s="54">
        <v>2000</v>
      </c>
      <c r="J745" s="54" t="str">
        <f t="shared" si="34"/>
        <v>KDAC120</v>
      </c>
    </row>
    <row r="746" spans="1:10" hidden="1">
      <c r="A746" s="71" t="s">
        <v>791</v>
      </c>
      <c r="B746" s="75" t="s">
        <v>792</v>
      </c>
      <c r="C746" s="73" t="s">
        <v>3224</v>
      </c>
      <c r="D746" s="72" t="s">
        <v>2037</v>
      </c>
      <c r="E746" s="2008" t="str">
        <f t="shared" si="33"/>
        <v>KD</v>
      </c>
      <c r="F746" s="54">
        <v>2000</v>
      </c>
      <c r="J746" s="54" t="str">
        <f t="shared" si="34"/>
        <v>KDAC150</v>
      </c>
    </row>
    <row r="747" spans="1:10" hidden="1">
      <c r="A747" s="71" t="s">
        <v>366</v>
      </c>
      <c r="B747" s="75" t="s">
        <v>1767</v>
      </c>
      <c r="C747" s="73" t="s">
        <v>4334</v>
      </c>
      <c r="D747" s="72" t="s">
        <v>2037</v>
      </c>
      <c r="E747" s="2008" t="str">
        <f t="shared" si="33"/>
        <v>KD</v>
      </c>
      <c r="F747" s="54">
        <v>2000</v>
      </c>
      <c r="J747" s="54" t="str">
        <f t="shared" si="34"/>
        <v>KDACXV50</v>
      </c>
    </row>
    <row r="748" spans="1:10" hidden="1">
      <c r="A748" s="71" t="s">
        <v>1372</v>
      </c>
      <c r="B748" s="75" t="s">
        <v>792</v>
      </c>
      <c r="C748" s="73" t="s">
        <v>3225</v>
      </c>
      <c r="D748" s="72" t="s">
        <v>2037</v>
      </c>
      <c r="E748" s="2008" t="str">
        <f t="shared" si="33"/>
        <v>KD</v>
      </c>
      <c r="F748" s="54">
        <v>2000</v>
      </c>
      <c r="J748" s="54" t="str">
        <f t="shared" si="34"/>
        <v>KDACXV150</v>
      </c>
    </row>
    <row r="749" spans="1:10" hidden="1">
      <c r="A749" s="71" t="s">
        <v>140</v>
      </c>
      <c r="B749" s="75" t="s">
        <v>1164</v>
      </c>
      <c r="C749" s="73" t="s">
        <v>3226</v>
      </c>
      <c r="D749" s="72" t="s">
        <v>2037</v>
      </c>
      <c r="E749" s="2008" t="str">
        <f t="shared" ref="E749:E814" si="35">LEFT(A749,2)</f>
        <v>KD</v>
      </c>
      <c r="F749" s="54">
        <v>2000</v>
      </c>
      <c r="J749" s="54" t="str">
        <f t="shared" si="34"/>
        <v>KDAC185</v>
      </c>
    </row>
    <row r="750" spans="1:10" hidden="1">
      <c r="A750" s="71" t="s">
        <v>711</v>
      </c>
      <c r="B750" s="75" t="s">
        <v>1165</v>
      </c>
      <c r="C750" s="73" t="s">
        <v>3227</v>
      </c>
      <c r="D750" s="72" t="s">
        <v>2037</v>
      </c>
      <c r="E750" s="2008" t="str">
        <f t="shared" si="35"/>
        <v>KD</v>
      </c>
      <c r="F750" s="54">
        <v>2000</v>
      </c>
      <c r="J750" s="54" t="str">
        <f t="shared" si="34"/>
        <v>KDAC240</v>
      </c>
    </row>
    <row r="751" spans="1:10" hidden="1">
      <c r="A751" s="71" t="s">
        <v>390</v>
      </c>
      <c r="B751" s="75" t="s">
        <v>391</v>
      </c>
      <c r="C751" s="73" t="s">
        <v>3228</v>
      </c>
      <c r="D751" s="72" t="s">
        <v>2037</v>
      </c>
      <c r="E751" s="2008" t="str">
        <f t="shared" si="35"/>
        <v>KD</v>
      </c>
      <c r="F751" s="54">
        <v>2000</v>
      </c>
      <c r="J751" s="54" t="str">
        <f t="shared" si="34"/>
        <v>KDM22</v>
      </c>
    </row>
    <row r="752" spans="1:10" hidden="1">
      <c r="A752" s="71" t="s">
        <v>679</v>
      </c>
      <c r="B752" s="75" t="s">
        <v>391</v>
      </c>
      <c r="C752" s="73" t="s">
        <v>3229</v>
      </c>
      <c r="D752" s="72" t="s">
        <v>2037</v>
      </c>
      <c r="E752" s="2008" t="str">
        <f t="shared" si="35"/>
        <v>KD</v>
      </c>
      <c r="F752" s="54">
        <v>2000</v>
      </c>
      <c r="J752" s="54" t="str">
        <f t="shared" si="34"/>
        <v>KDM25</v>
      </c>
    </row>
    <row r="753" spans="1:10" hidden="1">
      <c r="A753" s="71" t="s">
        <v>298</v>
      </c>
      <c r="B753" s="75" t="s">
        <v>299</v>
      </c>
      <c r="C753" s="73" t="s">
        <v>3230</v>
      </c>
      <c r="D753" s="72" t="s">
        <v>2037</v>
      </c>
      <c r="E753" s="2008" t="str">
        <f t="shared" si="35"/>
        <v>KD</v>
      </c>
      <c r="F753" s="54">
        <v>2000</v>
      </c>
      <c r="J753" s="54" t="str">
        <f t="shared" si="34"/>
        <v>KDM35</v>
      </c>
    </row>
    <row r="754" spans="1:10" hidden="1">
      <c r="A754" s="71" t="s">
        <v>413</v>
      </c>
      <c r="B754" s="75" t="s">
        <v>414</v>
      </c>
      <c r="C754" s="73" t="s">
        <v>3231</v>
      </c>
      <c r="D754" s="72" t="s">
        <v>2037</v>
      </c>
      <c r="E754" s="2008" t="str">
        <f t="shared" si="35"/>
        <v>KD</v>
      </c>
      <c r="F754" s="54">
        <v>2000</v>
      </c>
      <c r="J754" s="54" t="str">
        <f t="shared" si="34"/>
        <v>KDM48</v>
      </c>
    </row>
    <row r="755" spans="1:10" hidden="1">
      <c r="A755" s="71" t="s">
        <v>480</v>
      </c>
      <c r="B755" s="75" t="s">
        <v>414</v>
      </c>
      <c r="C755" s="73" t="s">
        <v>3232</v>
      </c>
      <c r="D755" s="72" t="s">
        <v>2037</v>
      </c>
      <c r="E755" s="2008" t="str">
        <f t="shared" si="35"/>
        <v>KD</v>
      </c>
      <c r="F755" s="54">
        <v>2000</v>
      </c>
      <c r="J755" s="54" t="str">
        <f t="shared" si="34"/>
        <v>KDM50</v>
      </c>
    </row>
    <row r="756" spans="1:10" hidden="1">
      <c r="A756" s="71" t="s">
        <v>481</v>
      </c>
      <c r="B756" s="75" t="s">
        <v>482</v>
      </c>
      <c r="C756" s="73" t="s">
        <v>3233</v>
      </c>
      <c r="D756" s="72" t="s">
        <v>2037</v>
      </c>
      <c r="E756" s="2008" t="str">
        <f t="shared" si="35"/>
        <v>KD</v>
      </c>
      <c r="F756" s="54">
        <v>2000</v>
      </c>
      <c r="J756" s="54" t="str">
        <f t="shared" si="34"/>
        <v>KDM70</v>
      </c>
    </row>
    <row r="757" spans="1:10" hidden="1">
      <c r="A757" s="71" t="s">
        <v>477</v>
      </c>
      <c r="B757" s="75" t="s">
        <v>478</v>
      </c>
      <c r="C757" s="73" t="s">
        <v>3234</v>
      </c>
      <c r="D757" s="72" t="s">
        <v>2037</v>
      </c>
      <c r="E757" s="2008" t="str">
        <f t="shared" si="35"/>
        <v>KD</v>
      </c>
      <c r="F757" s="54">
        <v>2000</v>
      </c>
      <c r="J757" s="54" t="str">
        <f t="shared" si="34"/>
        <v>KDM95</v>
      </c>
    </row>
    <row r="758" spans="1:10" hidden="1">
      <c r="A758" s="71" t="s">
        <v>96</v>
      </c>
      <c r="B758" s="75" t="s">
        <v>391</v>
      </c>
      <c r="C758" s="73" t="s">
        <v>3235</v>
      </c>
      <c r="D758" s="72" t="s">
        <v>2037</v>
      </c>
      <c r="E758" s="2008" t="str">
        <f t="shared" si="35"/>
        <v>KD</v>
      </c>
      <c r="F758" s="54">
        <v>2000</v>
      </c>
      <c r="J758" s="54" t="str">
        <f t="shared" si="34"/>
        <v>KDM25B</v>
      </c>
    </row>
    <row r="759" spans="1:10" hidden="1">
      <c r="A759" s="71" t="s">
        <v>253</v>
      </c>
      <c r="B759" s="75" t="s">
        <v>414</v>
      </c>
      <c r="C759" s="73" t="s">
        <v>3236</v>
      </c>
      <c r="D759" s="72" t="s">
        <v>2037</v>
      </c>
      <c r="E759" s="2008" t="str">
        <f t="shared" si="35"/>
        <v>KD</v>
      </c>
      <c r="F759" s="54">
        <v>2000</v>
      </c>
      <c r="J759" s="54" t="str">
        <f t="shared" si="34"/>
        <v>KDM50B</v>
      </c>
    </row>
    <row r="760" spans="1:10" hidden="1">
      <c r="A760" s="71" t="s">
        <v>2093</v>
      </c>
      <c r="B760" s="75" t="s">
        <v>478</v>
      </c>
      <c r="C760" s="73" t="s">
        <v>3237</v>
      </c>
      <c r="D760" s="72" t="s">
        <v>2037</v>
      </c>
      <c r="E760" s="2008" t="str">
        <f t="shared" si="35"/>
        <v>KD</v>
      </c>
      <c r="F760" s="54">
        <v>2000</v>
      </c>
      <c r="J760" s="54" t="str">
        <f t="shared" si="34"/>
        <v>KDM95B</v>
      </c>
    </row>
    <row r="761" spans="1:10" hidden="1">
      <c r="A761" s="71" t="s">
        <v>1400</v>
      </c>
      <c r="B761" s="75" t="s">
        <v>1401</v>
      </c>
      <c r="C761" s="73" t="s">
        <v>3238</v>
      </c>
      <c r="D761" s="72" t="s">
        <v>3239</v>
      </c>
      <c r="E761" s="2008" t="str">
        <f t="shared" si="35"/>
        <v>KD</v>
      </c>
      <c r="F761" s="54">
        <v>2000</v>
      </c>
      <c r="J761" s="54" t="str">
        <f t="shared" si="34"/>
        <v>KDQG1</v>
      </c>
    </row>
    <row r="762" spans="1:10" hidden="1">
      <c r="A762" s="71" t="s">
        <v>353</v>
      </c>
      <c r="B762" s="75" t="s">
        <v>332</v>
      </c>
      <c r="C762" s="73" t="s">
        <v>3240</v>
      </c>
      <c r="D762" s="72" t="s">
        <v>3239</v>
      </c>
      <c r="E762" s="2008" t="str">
        <f t="shared" si="35"/>
        <v>KD</v>
      </c>
      <c r="F762" s="54">
        <v>2000</v>
      </c>
      <c r="J762" s="54" t="str">
        <f t="shared" si="34"/>
        <v>KDQG2</v>
      </c>
    </row>
    <row r="763" spans="1:10" hidden="1">
      <c r="A763" s="71" t="s">
        <v>354</v>
      </c>
      <c r="B763" s="75" t="s">
        <v>333</v>
      </c>
      <c r="C763" s="73" t="s">
        <v>3241</v>
      </c>
      <c r="D763" s="72" t="s">
        <v>3239</v>
      </c>
      <c r="E763" s="2008" t="str">
        <f t="shared" si="35"/>
        <v>KD</v>
      </c>
      <c r="F763" s="54">
        <v>2000</v>
      </c>
      <c r="J763" s="54" t="str">
        <f t="shared" si="34"/>
        <v>KDQS</v>
      </c>
    </row>
    <row r="764" spans="1:10" hidden="1">
      <c r="A764" s="71" t="s">
        <v>62</v>
      </c>
      <c r="B764" s="75" t="s">
        <v>333</v>
      </c>
      <c r="C764" s="73" t="s">
        <v>3242</v>
      </c>
      <c r="D764" s="72" t="s">
        <v>3239</v>
      </c>
      <c r="E764" s="2008" t="str">
        <f t="shared" si="35"/>
        <v>KD</v>
      </c>
      <c r="F764" s="54">
        <v>2000</v>
      </c>
      <c r="J764" s="54" t="str">
        <f t="shared" si="34"/>
        <v>KDQMR</v>
      </c>
    </row>
    <row r="765" spans="1:10" hidden="1">
      <c r="A765" s="71" t="s">
        <v>2039</v>
      </c>
      <c r="B765" s="75" t="s">
        <v>2040</v>
      </c>
      <c r="C765" s="73" t="s">
        <v>3243</v>
      </c>
      <c r="D765" s="72" t="s">
        <v>3239</v>
      </c>
      <c r="E765" s="2008" t="str">
        <f t="shared" si="35"/>
        <v>KD</v>
      </c>
      <c r="F765" s="54">
        <v>2000</v>
      </c>
      <c r="J765" s="54" t="str">
        <f t="shared" si="34"/>
        <v>KDQD</v>
      </c>
    </row>
    <row r="766" spans="1:10" hidden="1">
      <c r="A766" s="71" t="s">
        <v>2041</v>
      </c>
      <c r="B766" s="75" t="s">
        <v>1160</v>
      </c>
      <c r="C766" s="73" t="s">
        <v>3244</v>
      </c>
      <c r="D766" s="72" t="s">
        <v>3239</v>
      </c>
      <c r="E766" s="2008" t="str">
        <f t="shared" si="35"/>
        <v>KD</v>
      </c>
      <c r="F766" s="54">
        <v>2000</v>
      </c>
      <c r="J766" s="54" t="str">
        <f t="shared" si="34"/>
        <v>KDQD1</v>
      </c>
    </row>
    <row r="767" spans="1:10">
      <c r="A767" s="71" t="s">
        <v>1550</v>
      </c>
      <c r="B767" s="75" t="s">
        <v>1905</v>
      </c>
      <c r="C767" s="73" t="s">
        <v>3245</v>
      </c>
      <c r="D767" s="72" t="s">
        <v>2532</v>
      </c>
      <c r="E767" s="2008" t="str">
        <f t="shared" si="35"/>
        <v>LS</v>
      </c>
      <c r="F767" s="54">
        <v>2000</v>
      </c>
      <c r="J767" s="54" t="str">
        <f t="shared" si="34"/>
        <v>LSTK100</v>
      </c>
    </row>
    <row r="768" spans="1:10" hidden="1">
      <c r="A768" s="71" t="s">
        <v>1551</v>
      </c>
      <c r="B768" s="75" t="s">
        <v>1100</v>
      </c>
      <c r="C768" s="73" t="s">
        <v>3246</v>
      </c>
      <c r="D768" s="72" t="s">
        <v>2532</v>
      </c>
      <c r="E768" s="2008" t="str">
        <f t="shared" si="35"/>
        <v>LS</v>
      </c>
      <c r="F768" s="54">
        <v>2000</v>
      </c>
      <c r="J768" s="54" t="str">
        <f t="shared" si="34"/>
        <v>LSTK70</v>
      </c>
    </row>
    <row r="769" spans="1:10" hidden="1">
      <c r="A769" s="71" t="s">
        <v>411</v>
      </c>
      <c r="B769" s="75" t="s">
        <v>1101</v>
      </c>
      <c r="C769" s="73" t="s">
        <v>3247</v>
      </c>
      <c r="D769" s="72" t="s">
        <v>2532</v>
      </c>
      <c r="E769" s="2008" t="str">
        <f t="shared" si="35"/>
        <v>LS</v>
      </c>
      <c r="F769" s="54">
        <v>2000</v>
      </c>
      <c r="J769" s="54" t="str">
        <f t="shared" si="34"/>
        <v>LSTK50</v>
      </c>
    </row>
    <row r="770" spans="1:10" hidden="1">
      <c r="A770" s="71" t="s">
        <v>412</v>
      </c>
      <c r="B770" s="75" t="s">
        <v>1278</v>
      </c>
      <c r="C770" s="73" t="s">
        <v>3248</v>
      </c>
      <c r="D770" s="72" t="s">
        <v>2532</v>
      </c>
      <c r="E770" s="2008" t="str">
        <f t="shared" si="35"/>
        <v>LS</v>
      </c>
      <c r="F770" s="54">
        <v>2000</v>
      </c>
      <c r="J770" s="54" t="str">
        <f t="shared" si="34"/>
        <v>LSTK120d</v>
      </c>
    </row>
    <row r="771" spans="1:10" hidden="1">
      <c r="A771" s="71" t="s">
        <v>491</v>
      </c>
      <c r="B771" s="75" t="s">
        <v>1416</v>
      </c>
      <c r="C771" s="73" t="s">
        <v>3249</v>
      </c>
      <c r="D771" s="72" t="s">
        <v>2532</v>
      </c>
      <c r="E771" s="2008" t="str">
        <f t="shared" si="35"/>
        <v>LS</v>
      </c>
      <c r="F771" s="54">
        <v>2000</v>
      </c>
      <c r="J771" s="54" t="str">
        <f t="shared" si="34"/>
        <v>LSTK220d</v>
      </c>
    </row>
    <row r="772" spans="1:10" hidden="1">
      <c r="A772" s="71" t="s">
        <v>2010</v>
      </c>
      <c r="B772" s="75" t="s">
        <v>1102</v>
      </c>
      <c r="C772" s="73" t="s">
        <v>3250</v>
      </c>
      <c r="D772" s="72" t="s">
        <v>2532</v>
      </c>
      <c r="E772" s="2008" t="str">
        <f t="shared" si="35"/>
        <v>LP</v>
      </c>
      <c r="F772" s="54">
        <v>2000</v>
      </c>
      <c r="J772" s="54" t="str">
        <f t="shared" si="34"/>
        <v>LPVC42CL</v>
      </c>
    </row>
    <row r="773" spans="1:10" hidden="1">
      <c r="A773" s="71" t="s">
        <v>1099</v>
      </c>
      <c r="B773" s="75" t="s">
        <v>2102</v>
      </c>
      <c r="C773" s="73" t="s">
        <v>3251</v>
      </c>
      <c r="D773" s="72" t="s">
        <v>2532</v>
      </c>
      <c r="E773" s="2008" t="str">
        <f t="shared" si="35"/>
        <v>LP</v>
      </c>
      <c r="F773" s="54">
        <v>2000</v>
      </c>
      <c r="J773" s="54" t="str">
        <f t="shared" si="34"/>
        <v>LPVC60CL</v>
      </c>
    </row>
    <row r="774" spans="1:10" hidden="1">
      <c r="A774" s="71" t="s">
        <v>552</v>
      </c>
      <c r="B774" s="75" t="s">
        <v>1750</v>
      </c>
      <c r="C774" s="73" t="s">
        <v>3252</v>
      </c>
      <c r="D774" s="72" t="s">
        <v>2532</v>
      </c>
      <c r="E774" s="2008" t="str">
        <f t="shared" si="35"/>
        <v>LP</v>
      </c>
      <c r="F774" s="54">
        <v>2000</v>
      </c>
      <c r="J774" s="54" t="str">
        <f t="shared" si="34"/>
        <v>LPVC90CL</v>
      </c>
    </row>
    <row r="775" spans="1:10" hidden="1">
      <c r="A775" s="71" t="s">
        <v>961</v>
      </c>
      <c r="B775" s="75" t="s">
        <v>962</v>
      </c>
      <c r="C775" s="73" t="s">
        <v>3253</v>
      </c>
      <c r="D775" s="72" t="s">
        <v>2532</v>
      </c>
      <c r="E775" s="2008" t="str">
        <f t="shared" si="35"/>
        <v>LP</v>
      </c>
      <c r="F775" s="54">
        <v>2000</v>
      </c>
      <c r="J775" s="54" t="str">
        <f t="shared" si="34"/>
        <v>LPVC114CL</v>
      </c>
    </row>
    <row r="776" spans="1:10" hidden="1">
      <c r="A776" s="71" t="s">
        <v>442</v>
      </c>
      <c r="B776" s="75" t="s">
        <v>1102</v>
      </c>
      <c r="C776" s="73" t="s">
        <v>3254</v>
      </c>
      <c r="D776" s="72" t="s">
        <v>2532</v>
      </c>
      <c r="E776" s="2008" t="str">
        <f t="shared" si="35"/>
        <v>LP</v>
      </c>
      <c r="F776" s="54">
        <v>2000</v>
      </c>
      <c r="J776" s="54" t="str">
        <f t="shared" si="34"/>
        <v>LPVC140CL</v>
      </c>
    </row>
    <row r="777" spans="1:10" hidden="1">
      <c r="A777" s="71" t="s">
        <v>1188</v>
      </c>
      <c r="B777" s="1638" t="s">
        <v>575</v>
      </c>
      <c r="C777" s="73" t="s">
        <v>1189</v>
      </c>
      <c r="D777" s="72" t="s">
        <v>2532</v>
      </c>
      <c r="E777" s="2008" t="str">
        <f t="shared" si="35"/>
        <v>LP</v>
      </c>
      <c r="F777" s="54">
        <v>2000</v>
      </c>
      <c r="J777" s="54" t="str">
        <f t="shared" si="34"/>
        <v>LPVC</v>
      </c>
    </row>
    <row r="778" spans="1:10" hidden="1">
      <c r="A778" s="71" t="s">
        <v>2094</v>
      </c>
      <c r="B778" s="1638" t="s">
        <v>1600</v>
      </c>
      <c r="C778" s="73" t="s">
        <v>3255</v>
      </c>
      <c r="D778" s="72" t="s">
        <v>2532</v>
      </c>
      <c r="E778" s="2008" t="str">
        <f t="shared" si="35"/>
        <v>KC</v>
      </c>
      <c r="F778" s="54">
        <v>2000</v>
      </c>
      <c r="J778" s="54" t="str">
        <f t="shared" si="34"/>
        <v>KCN1kg</v>
      </c>
    </row>
    <row r="779" spans="1:10" hidden="1">
      <c r="A779" s="71" t="s">
        <v>1833</v>
      </c>
      <c r="B779" s="1638" t="s">
        <v>1601</v>
      </c>
      <c r="C779" s="73" t="s">
        <v>3256</v>
      </c>
      <c r="D779" s="72" t="s">
        <v>2532</v>
      </c>
      <c r="E779" s="2008" t="str">
        <f t="shared" si="35"/>
        <v>KC</v>
      </c>
      <c r="F779" s="54">
        <v>2000</v>
      </c>
      <c r="J779" s="54" t="str">
        <f t="shared" si="34"/>
        <v>KCN2kg</v>
      </c>
    </row>
    <row r="780" spans="1:10" hidden="1">
      <c r="A780" s="71" t="s">
        <v>810</v>
      </c>
      <c r="B780" s="1638" t="s">
        <v>1602</v>
      </c>
      <c r="C780" s="73" t="s">
        <v>3257</v>
      </c>
      <c r="D780" s="72" t="s">
        <v>2532</v>
      </c>
      <c r="E780" s="2008" t="str">
        <f t="shared" si="35"/>
        <v>KC</v>
      </c>
      <c r="F780" s="54">
        <v>2000</v>
      </c>
      <c r="J780" s="54" t="str">
        <f t="shared" si="34"/>
        <v>KCN3kg</v>
      </c>
    </row>
    <row r="781" spans="1:10" hidden="1">
      <c r="A781" s="71" t="s">
        <v>811</v>
      </c>
      <c r="B781" s="1638" t="s">
        <v>1603</v>
      </c>
      <c r="C781" s="73" t="s">
        <v>3258</v>
      </c>
      <c r="D781" s="72" t="s">
        <v>2532</v>
      </c>
      <c r="E781" s="2008" t="str">
        <f t="shared" si="35"/>
        <v>KC</v>
      </c>
      <c r="F781" s="54">
        <v>2000</v>
      </c>
      <c r="J781" s="54" t="str">
        <f t="shared" si="34"/>
        <v>KCN4kg</v>
      </c>
    </row>
    <row r="782" spans="1:10" hidden="1">
      <c r="A782" s="71" t="s">
        <v>1182</v>
      </c>
      <c r="B782" s="1638" t="s">
        <v>1604</v>
      </c>
      <c r="C782" s="73" t="s">
        <v>3259</v>
      </c>
      <c r="D782" s="72" t="s">
        <v>2532</v>
      </c>
      <c r="E782" s="2008" t="str">
        <f t="shared" si="35"/>
        <v>KC</v>
      </c>
      <c r="F782" s="54">
        <v>2000</v>
      </c>
      <c r="J782" s="54" t="str">
        <f t="shared" si="34"/>
        <v>KCN6kg</v>
      </c>
    </row>
    <row r="783" spans="1:10" hidden="1">
      <c r="A783" s="71" t="s">
        <v>1183</v>
      </c>
      <c r="B783" s="1638" t="s">
        <v>1685</v>
      </c>
      <c r="C783" s="73" t="s">
        <v>3260</v>
      </c>
      <c r="D783" s="72" t="s">
        <v>2532</v>
      </c>
      <c r="E783" s="2008" t="str">
        <f t="shared" si="35"/>
        <v>KC</v>
      </c>
      <c r="F783" s="54">
        <v>2000</v>
      </c>
      <c r="J783" s="54" t="str">
        <f t="shared" si="34"/>
        <v>KCN7kg</v>
      </c>
    </row>
    <row r="784" spans="1:10" hidden="1">
      <c r="A784" s="71" t="s">
        <v>1039</v>
      </c>
      <c r="B784" s="1638" t="s">
        <v>1686</v>
      </c>
      <c r="C784" s="73" t="s">
        <v>3261</v>
      </c>
      <c r="D784" s="72" t="s">
        <v>2532</v>
      </c>
      <c r="E784" s="2008" t="str">
        <f t="shared" si="35"/>
        <v>KC</v>
      </c>
      <c r="F784" s="54">
        <v>2000</v>
      </c>
      <c r="J784" s="54" t="str">
        <f t="shared" si="34"/>
        <v>KCN9kg</v>
      </c>
    </row>
    <row r="785" spans="1:10" hidden="1">
      <c r="A785" s="71" t="s">
        <v>1687</v>
      </c>
      <c r="B785" s="1638" t="s">
        <v>1689</v>
      </c>
      <c r="C785" s="73" t="s">
        <v>3262</v>
      </c>
      <c r="D785" s="72" t="s">
        <v>2532</v>
      </c>
      <c r="E785" s="2008" t="str">
        <f t="shared" si="35"/>
        <v>KC</v>
      </c>
      <c r="F785" s="54">
        <v>2000</v>
      </c>
      <c r="J785" s="54" t="str">
        <f t="shared" si="34"/>
        <v>KCN10kg</v>
      </c>
    </row>
    <row r="786" spans="1:10" hidden="1">
      <c r="A786" s="71" t="s">
        <v>1688</v>
      </c>
      <c r="B786" s="1638" t="s">
        <v>1690</v>
      </c>
      <c r="C786" s="73" t="s">
        <v>3263</v>
      </c>
      <c r="D786" s="72" t="s">
        <v>2532</v>
      </c>
      <c r="E786" s="2008" t="str">
        <f t="shared" si="35"/>
        <v>KC</v>
      </c>
      <c r="F786" s="54">
        <v>2000</v>
      </c>
      <c r="J786" s="54" t="str">
        <f t="shared" si="34"/>
        <v>KCN12kg</v>
      </c>
    </row>
    <row r="787" spans="1:10" hidden="1">
      <c r="A787" s="71" t="s">
        <v>1200</v>
      </c>
      <c r="B787" s="75" t="s">
        <v>1527</v>
      </c>
      <c r="C787" s="73" t="s">
        <v>3264</v>
      </c>
      <c r="D787" s="72" t="s">
        <v>2532</v>
      </c>
      <c r="E787" s="2008" t="str">
        <f t="shared" si="35"/>
        <v>KC</v>
      </c>
      <c r="F787" s="54">
        <v>2000</v>
      </c>
      <c r="J787" s="54" t="str">
        <f t="shared" si="34"/>
        <v>KCNT1kg</v>
      </c>
    </row>
    <row r="788" spans="1:10" hidden="1">
      <c r="A788" s="71" t="s">
        <v>1201</v>
      </c>
      <c r="B788" s="75" t="s">
        <v>334</v>
      </c>
      <c r="C788" s="73" t="s">
        <v>3265</v>
      </c>
      <c r="D788" s="72" t="s">
        <v>2532</v>
      </c>
      <c r="E788" s="2008" t="str">
        <f t="shared" si="35"/>
        <v>KC</v>
      </c>
      <c r="F788" s="54">
        <v>2000</v>
      </c>
      <c r="J788" s="54" t="str">
        <f t="shared" si="34"/>
        <v>KCNT2kg</v>
      </c>
    </row>
    <row r="789" spans="1:10" hidden="1">
      <c r="A789" s="71" t="s">
        <v>1202</v>
      </c>
      <c r="B789" s="75" t="s">
        <v>335</v>
      </c>
      <c r="C789" s="73" t="s">
        <v>3266</v>
      </c>
      <c r="D789" s="72" t="s">
        <v>2532</v>
      </c>
      <c r="E789" s="2008" t="str">
        <f t="shared" si="35"/>
        <v>KC</v>
      </c>
      <c r="F789" s="54">
        <v>2000</v>
      </c>
      <c r="J789" s="54" t="str">
        <f t="shared" si="34"/>
        <v>KCNT3kg</v>
      </c>
    </row>
    <row r="790" spans="1:10" hidden="1">
      <c r="A790" s="71" t="s">
        <v>1203</v>
      </c>
      <c r="B790" s="75" t="s">
        <v>336</v>
      </c>
      <c r="C790" s="73" t="s">
        <v>3267</v>
      </c>
      <c r="D790" s="72" t="s">
        <v>2532</v>
      </c>
      <c r="E790" s="2008" t="str">
        <f t="shared" si="35"/>
        <v>KC</v>
      </c>
      <c r="F790" s="54">
        <v>2000</v>
      </c>
      <c r="J790" s="54" t="str">
        <f t="shared" si="34"/>
        <v>KCNT4kg</v>
      </c>
    </row>
    <row r="791" spans="1:10" hidden="1">
      <c r="A791" s="71" t="s">
        <v>1204</v>
      </c>
      <c r="B791" s="75" t="s">
        <v>337</v>
      </c>
      <c r="C791" s="73" t="s">
        <v>3268</v>
      </c>
      <c r="D791" s="72" t="s">
        <v>2532</v>
      </c>
      <c r="E791" s="2008" t="str">
        <f t="shared" si="35"/>
        <v>KC</v>
      </c>
      <c r="F791" s="54">
        <v>2000</v>
      </c>
      <c r="J791" s="54" t="str">
        <f t="shared" ref="J791:J848" si="36">A791</f>
        <v>KCNT6kg</v>
      </c>
    </row>
    <row r="792" spans="1:10" hidden="1">
      <c r="A792" s="71" t="s">
        <v>1205</v>
      </c>
      <c r="B792" s="75" t="s">
        <v>1280</v>
      </c>
      <c r="C792" s="73" t="s">
        <v>3269</v>
      </c>
      <c r="D792" s="72" t="s">
        <v>2532</v>
      </c>
      <c r="E792" s="2008" t="str">
        <f t="shared" si="35"/>
        <v>KC</v>
      </c>
      <c r="F792" s="54">
        <v>2000</v>
      </c>
      <c r="J792" s="54" t="str">
        <f t="shared" si="36"/>
        <v>KCNT7kg</v>
      </c>
    </row>
    <row r="793" spans="1:10" hidden="1">
      <c r="A793" s="71" t="s">
        <v>1206</v>
      </c>
      <c r="B793" s="75" t="s">
        <v>338</v>
      </c>
      <c r="C793" s="73" t="s">
        <v>3270</v>
      </c>
      <c r="D793" s="72" t="s">
        <v>2532</v>
      </c>
      <c r="E793" s="2008" t="str">
        <f t="shared" si="35"/>
        <v>KC</v>
      </c>
      <c r="F793" s="54">
        <v>2000</v>
      </c>
      <c r="J793" s="54" t="str">
        <f t="shared" si="36"/>
        <v>KCNT9kg</v>
      </c>
    </row>
    <row r="794" spans="1:10" hidden="1">
      <c r="A794" s="71" t="s">
        <v>347</v>
      </c>
      <c r="B794" s="75" t="s">
        <v>434</v>
      </c>
      <c r="C794" s="73" t="s">
        <v>3271</v>
      </c>
      <c r="D794" s="72" t="s">
        <v>2439</v>
      </c>
      <c r="E794" s="2008" t="str">
        <f t="shared" si="35"/>
        <v>LS</v>
      </c>
      <c r="F794" s="54">
        <v>2000</v>
      </c>
      <c r="J794" s="54" t="str">
        <f t="shared" si="36"/>
        <v>LSD</v>
      </c>
    </row>
    <row r="795" spans="1:10" s="2989" customFormat="1" hidden="1">
      <c r="A795" s="2990" t="s">
        <v>6568</v>
      </c>
      <c r="B795" s="2993" t="s">
        <v>434</v>
      </c>
      <c r="C795" s="2992" t="s">
        <v>6567</v>
      </c>
      <c r="D795" s="2991" t="s">
        <v>2555</v>
      </c>
      <c r="E795" s="2999" t="str">
        <f t="shared" ref="E795:E796" si="37">LEFT(A795,2)</f>
        <v>TL</v>
      </c>
      <c r="F795" s="2989">
        <v>2000</v>
      </c>
      <c r="J795" s="2989" t="str">
        <f t="shared" ref="J795:J796" si="38">A795</f>
        <v>TLSD24</v>
      </c>
    </row>
    <row r="796" spans="1:10" s="2989" customFormat="1" hidden="1">
      <c r="A796" s="2990" t="s">
        <v>6569</v>
      </c>
      <c r="B796" s="2993" t="s">
        <v>434</v>
      </c>
      <c r="C796" s="2992" t="s">
        <v>6570</v>
      </c>
      <c r="D796" s="2991" t="s">
        <v>2555</v>
      </c>
      <c r="E796" s="2999" t="str">
        <f t="shared" si="37"/>
        <v>TL</v>
      </c>
      <c r="F796" s="2989">
        <v>2000</v>
      </c>
      <c r="J796" s="2989" t="str">
        <f t="shared" si="38"/>
        <v>TLSD04</v>
      </c>
    </row>
    <row r="797" spans="1:10" hidden="1">
      <c r="A797" s="2990" t="s">
        <v>6571</v>
      </c>
      <c r="B797" s="75" t="s">
        <v>434</v>
      </c>
      <c r="C797" s="73" t="s">
        <v>6572</v>
      </c>
      <c r="D797" s="72" t="s">
        <v>2037</v>
      </c>
      <c r="E797" s="2008" t="str">
        <f t="shared" si="35"/>
        <v>TC</v>
      </c>
      <c r="F797" s="54">
        <v>2000</v>
      </c>
      <c r="J797" s="54" t="str">
        <f t="shared" si="36"/>
        <v>TCH2x16</v>
      </c>
    </row>
    <row r="798" spans="1:10" hidden="1">
      <c r="A798" s="71" t="s">
        <v>1184</v>
      </c>
      <c r="B798" s="75" t="s">
        <v>926</v>
      </c>
      <c r="C798" s="73" t="s">
        <v>3272</v>
      </c>
      <c r="D798" s="72" t="s">
        <v>2439</v>
      </c>
      <c r="E798" s="2008" t="str">
        <f t="shared" si="35"/>
        <v>ls</v>
      </c>
      <c r="F798" s="54">
        <v>2000</v>
      </c>
      <c r="J798" s="54" t="str">
        <f t="shared" si="36"/>
        <v>lsd35</v>
      </c>
    </row>
    <row r="799" spans="1:10" hidden="1">
      <c r="A799" s="71" t="s">
        <v>349</v>
      </c>
      <c r="B799" s="75" t="s">
        <v>1249</v>
      </c>
      <c r="C799" s="73" t="s">
        <v>3273</v>
      </c>
      <c r="D799" s="72" t="s">
        <v>2512</v>
      </c>
      <c r="E799" s="2008" t="str">
        <f t="shared" si="35"/>
        <v>LC</v>
      </c>
      <c r="F799" s="54">
        <v>2000</v>
      </c>
      <c r="J799" s="54" t="str">
        <f t="shared" si="36"/>
        <v>LCHSD</v>
      </c>
    </row>
    <row r="800" spans="1:10" hidden="1">
      <c r="A800" s="71" t="s">
        <v>350</v>
      </c>
      <c r="B800" s="75" t="s">
        <v>294</v>
      </c>
      <c r="C800" s="73" t="s">
        <v>3274</v>
      </c>
      <c r="D800" s="72" t="s">
        <v>2512</v>
      </c>
      <c r="E800" s="2008" t="str">
        <f t="shared" si="35"/>
        <v>LC</v>
      </c>
      <c r="F800" s="54">
        <v>2000</v>
      </c>
      <c r="J800" s="54" t="str">
        <f t="shared" si="36"/>
        <v>LCHSN</v>
      </c>
    </row>
    <row r="801" spans="1:10" hidden="1">
      <c r="A801" s="71" t="s">
        <v>1507</v>
      </c>
      <c r="B801" s="75" t="s">
        <v>4338</v>
      </c>
      <c r="C801" s="73" t="s">
        <v>3275</v>
      </c>
      <c r="D801" s="72" t="s">
        <v>2512</v>
      </c>
      <c r="E801" s="2008" t="str">
        <f t="shared" si="35"/>
        <v>LC</v>
      </c>
      <c r="F801" s="54">
        <v>2000</v>
      </c>
      <c r="J801" s="54" t="str">
        <f t="shared" si="36"/>
        <v>LCHSNply</v>
      </c>
    </row>
    <row r="802" spans="1:10" hidden="1">
      <c r="A802" s="71" t="s">
        <v>626</v>
      </c>
      <c r="B802" s="75" t="s">
        <v>627</v>
      </c>
      <c r="C802" s="73" t="s">
        <v>3276</v>
      </c>
      <c r="D802" s="72" t="s">
        <v>2512</v>
      </c>
      <c r="E802" s="2008" t="str">
        <f t="shared" si="35"/>
        <v>LC</v>
      </c>
      <c r="F802" s="54">
        <v>2000</v>
      </c>
      <c r="J802" s="54" t="str">
        <f t="shared" si="36"/>
        <v>LCHSN3</v>
      </c>
    </row>
    <row r="803" spans="1:10" hidden="1">
      <c r="A803" s="71" t="s">
        <v>351</v>
      </c>
      <c r="B803" s="75" t="s">
        <v>4337</v>
      </c>
      <c r="C803" s="73" t="s">
        <v>3277</v>
      </c>
      <c r="D803" s="72" t="s">
        <v>2439</v>
      </c>
      <c r="E803" s="2008" t="str">
        <f t="shared" si="35"/>
        <v>LS</v>
      </c>
      <c r="F803" s="54">
        <v>2000</v>
      </c>
      <c r="J803" s="54" t="str">
        <f t="shared" si="36"/>
        <v>LSOC</v>
      </c>
    </row>
    <row r="804" spans="1:10" hidden="1">
      <c r="A804" s="71" t="s">
        <v>125</v>
      </c>
      <c r="B804" s="75" t="s">
        <v>126</v>
      </c>
      <c r="C804" s="73" t="s">
        <v>3278</v>
      </c>
      <c r="D804" s="72" t="s">
        <v>2439</v>
      </c>
      <c r="E804" s="2008" t="str">
        <f t="shared" si="35"/>
        <v>LR</v>
      </c>
      <c r="F804" s="54">
        <v>2000</v>
      </c>
      <c r="J804" s="54" t="str">
        <f t="shared" si="36"/>
        <v>LR2</v>
      </c>
    </row>
    <row r="805" spans="1:10" hidden="1">
      <c r="A805" s="71" t="s">
        <v>452</v>
      </c>
      <c r="B805" s="75" t="s">
        <v>1011</v>
      </c>
      <c r="C805" s="73" t="s">
        <v>3279</v>
      </c>
      <c r="D805" s="72" t="s">
        <v>2439</v>
      </c>
      <c r="E805" s="2008" t="str">
        <f t="shared" si="35"/>
        <v>LR</v>
      </c>
      <c r="F805" s="54">
        <v>2000</v>
      </c>
      <c r="J805" s="54" t="str">
        <f t="shared" si="36"/>
        <v>LR3</v>
      </c>
    </row>
    <row r="806" spans="1:10" hidden="1">
      <c r="A806" s="71" t="s">
        <v>689</v>
      </c>
      <c r="B806" s="75" t="s">
        <v>1012</v>
      </c>
      <c r="C806" s="73" t="s">
        <v>3280</v>
      </c>
      <c r="D806" s="72" t="s">
        <v>2439</v>
      </c>
      <c r="E806" s="2008" t="str">
        <f t="shared" si="35"/>
        <v>LR</v>
      </c>
      <c r="F806" s="54">
        <v>2000</v>
      </c>
      <c r="J806" s="54" t="str">
        <f t="shared" si="36"/>
        <v>LR4</v>
      </c>
    </row>
    <row r="807" spans="1:10" hidden="1">
      <c r="A807" s="71" t="s">
        <v>2164</v>
      </c>
      <c r="B807" s="1638" t="s">
        <v>2165</v>
      </c>
      <c r="C807" s="73" t="s">
        <v>3281</v>
      </c>
      <c r="D807" s="72" t="s">
        <v>2831</v>
      </c>
      <c r="E807" s="2008" t="str">
        <f t="shared" si="35"/>
        <v>LT</v>
      </c>
      <c r="F807" s="54">
        <v>2000</v>
      </c>
      <c r="J807" s="54" t="str">
        <f t="shared" si="36"/>
        <v>LTRUHL-I</v>
      </c>
    </row>
    <row r="808" spans="1:10" hidden="1">
      <c r="A808" s="71" t="s">
        <v>160</v>
      </c>
      <c r="B808" s="1638" t="s">
        <v>156</v>
      </c>
      <c r="C808" s="73" t="s">
        <v>3282</v>
      </c>
      <c r="D808" s="72" t="s">
        <v>2439</v>
      </c>
      <c r="E808" s="2008" t="str">
        <f t="shared" si="35"/>
        <v>LS</v>
      </c>
      <c r="F808" s="54">
        <v>2000</v>
      </c>
      <c r="J808" s="54" t="str">
        <f t="shared" si="36"/>
        <v>LSDHL-DX</v>
      </c>
    </row>
    <row r="809" spans="1:10" hidden="1">
      <c r="A809" s="71" t="s">
        <v>155</v>
      </c>
      <c r="B809" s="1638" t="s">
        <v>157</v>
      </c>
      <c r="C809" s="73" t="s">
        <v>3283</v>
      </c>
      <c r="D809" s="72" t="s">
        <v>2439</v>
      </c>
      <c r="E809" s="2008" t="str">
        <f t="shared" si="35"/>
        <v>LC</v>
      </c>
      <c r="F809" s="54">
        <v>2000</v>
      </c>
      <c r="J809" s="54" t="str">
        <f t="shared" si="36"/>
        <v>LCHSNplyHL</v>
      </c>
    </row>
    <row r="810" spans="1:10" hidden="1">
      <c r="A810" s="71" t="s">
        <v>401</v>
      </c>
      <c r="B810" s="1638" t="s">
        <v>402</v>
      </c>
      <c r="C810" s="73" t="s">
        <v>3284</v>
      </c>
      <c r="D810" s="72" t="s">
        <v>3285</v>
      </c>
      <c r="E810" s="2008" t="str">
        <f t="shared" si="35"/>
        <v>DN</v>
      </c>
      <c r="F810" s="54">
        <v>2000</v>
      </c>
      <c r="J810" s="54" t="str">
        <f t="shared" si="36"/>
        <v>DN CL</v>
      </c>
    </row>
    <row r="811" spans="1:10" hidden="1">
      <c r="A811" s="71" t="s">
        <v>159</v>
      </c>
      <c r="B811" s="1638" t="s">
        <v>158</v>
      </c>
      <c r="C811" s="73" t="s">
        <v>3286</v>
      </c>
      <c r="D811" s="72" t="s">
        <v>2439</v>
      </c>
      <c r="E811" s="2008" t="str">
        <f t="shared" si="35"/>
        <v>LX</v>
      </c>
      <c r="F811" s="54">
        <v>2000</v>
      </c>
      <c r="J811" s="54" t="str">
        <f t="shared" si="36"/>
        <v>LXHL</v>
      </c>
    </row>
    <row r="812" spans="1:10" hidden="1">
      <c r="A812" s="71" t="s">
        <v>161</v>
      </c>
      <c r="B812" s="1638" t="s">
        <v>325</v>
      </c>
      <c r="C812" s="73" t="s">
        <v>3287</v>
      </c>
      <c r="D812" s="72" t="s">
        <v>2439</v>
      </c>
      <c r="E812" s="2008" t="str">
        <f t="shared" si="35"/>
        <v>LS</v>
      </c>
      <c r="F812" s="54">
        <v>2000</v>
      </c>
      <c r="J812" s="54" t="str">
        <f t="shared" si="36"/>
        <v>LSDHL-V</v>
      </c>
    </row>
    <row r="813" spans="1:10" hidden="1">
      <c r="A813" s="71" t="s">
        <v>327</v>
      </c>
      <c r="B813" s="1638" t="s">
        <v>326</v>
      </c>
      <c r="C813" s="73" t="s">
        <v>3288</v>
      </c>
      <c r="D813" s="72" t="s">
        <v>2439</v>
      </c>
      <c r="E813" s="2008" t="str">
        <f t="shared" si="35"/>
        <v>LF</v>
      </c>
      <c r="F813" s="54">
        <v>2000</v>
      </c>
      <c r="J813" s="54" t="str">
        <f t="shared" si="36"/>
        <v>LFCOHL</v>
      </c>
    </row>
    <row r="814" spans="1:10" hidden="1">
      <c r="A814" s="71" t="s">
        <v>328</v>
      </c>
      <c r="B814" s="1638" t="s">
        <v>326</v>
      </c>
      <c r="C814" s="73" t="s">
        <v>3289</v>
      </c>
      <c r="D814" s="72" t="s">
        <v>2555</v>
      </c>
      <c r="E814" s="2008" t="str">
        <f t="shared" si="35"/>
        <v>LL</v>
      </c>
      <c r="F814" s="54">
        <v>2000</v>
      </c>
      <c r="J814" s="54" t="str">
        <f t="shared" si="36"/>
        <v>LLAHL</v>
      </c>
    </row>
    <row r="815" spans="1:10" hidden="1">
      <c r="A815" s="71" t="s">
        <v>352</v>
      </c>
      <c r="B815" s="75" t="s">
        <v>2122</v>
      </c>
      <c r="C815" s="73" t="s">
        <v>3290</v>
      </c>
      <c r="D815" s="72" t="s">
        <v>2555</v>
      </c>
      <c r="E815" s="2008" t="str">
        <f t="shared" ref="E815:E869" si="39">LEFT(A815,2)</f>
        <v>LB</v>
      </c>
      <c r="F815" s="54">
        <v>2000</v>
      </c>
      <c r="J815" s="54" t="str">
        <f t="shared" si="36"/>
        <v>LBNH</v>
      </c>
    </row>
    <row r="816" spans="1:10" hidden="1">
      <c r="A816" s="71" t="s">
        <v>848</v>
      </c>
      <c r="B816" s="75" t="s">
        <v>2249</v>
      </c>
      <c r="C816" s="73" t="s">
        <v>3291</v>
      </c>
      <c r="D816" s="72" t="s">
        <v>1823</v>
      </c>
      <c r="E816" s="2008" t="str">
        <f t="shared" si="39"/>
        <v>Lc</v>
      </c>
      <c r="F816" s="54">
        <v>2000</v>
      </c>
      <c r="J816" s="54" t="str">
        <f t="shared" si="36"/>
        <v>LcapdongTB95</v>
      </c>
    </row>
    <row r="817" spans="1:10" hidden="1">
      <c r="A817" s="71" t="s">
        <v>849</v>
      </c>
      <c r="B817" s="75" t="s">
        <v>33</v>
      </c>
      <c r="C817" s="73" t="s">
        <v>3292</v>
      </c>
      <c r="D817" s="72" t="s">
        <v>1823</v>
      </c>
      <c r="E817" s="2008" t="str">
        <f t="shared" si="39"/>
        <v>Lc</v>
      </c>
      <c r="F817" s="54">
        <v>2000</v>
      </c>
      <c r="J817" s="54" t="str">
        <f t="shared" si="36"/>
        <v>LcapdongTB150</v>
      </c>
    </row>
    <row r="818" spans="1:10" hidden="1">
      <c r="A818" s="71" t="s">
        <v>1890</v>
      </c>
      <c r="B818" s="75" t="s">
        <v>1014</v>
      </c>
      <c r="C818" s="73" t="s">
        <v>3293</v>
      </c>
      <c r="D818" s="72" t="s">
        <v>1823</v>
      </c>
      <c r="E818" s="2008" t="str">
        <f t="shared" si="39"/>
        <v>Lc</v>
      </c>
      <c r="F818" s="54">
        <v>2000</v>
      </c>
      <c r="J818" s="54" t="str">
        <f t="shared" si="36"/>
        <v>LcapdongTB240</v>
      </c>
    </row>
    <row r="819" spans="1:10" hidden="1">
      <c r="A819" s="71" t="s">
        <v>831</v>
      </c>
      <c r="B819" s="75" t="s">
        <v>435</v>
      </c>
      <c r="C819" s="73" t="s">
        <v>3294</v>
      </c>
      <c r="D819" s="72" t="s">
        <v>2555</v>
      </c>
      <c r="E819" s="2008" t="str">
        <f t="shared" si="39"/>
        <v>LF</v>
      </c>
      <c r="F819" s="54">
        <v>2000</v>
      </c>
      <c r="J819" s="54" t="str">
        <f t="shared" si="36"/>
        <v>LFCO</v>
      </c>
    </row>
    <row r="820" spans="1:10" hidden="1">
      <c r="A820" s="71" t="s">
        <v>1398</v>
      </c>
      <c r="B820" s="75" t="s">
        <v>435</v>
      </c>
      <c r="C820" s="73" t="s">
        <v>3295</v>
      </c>
      <c r="D820" s="72" t="s">
        <v>2555</v>
      </c>
      <c r="E820" s="2008" t="str">
        <f t="shared" si="39"/>
        <v>LL</v>
      </c>
      <c r="F820" s="54">
        <v>2000</v>
      </c>
      <c r="J820" s="54" t="str">
        <f t="shared" si="36"/>
        <v>LLBFCO</v>
      </c>
    </row>
    <row r="821" spans="1:10" hidden="1">
      <c r="A821" s="71" t="s">
        <v>1399</v>
      </c>
      <c r="B821" s="75" t="s">
        <v>682</v>
      </c>
      <c r="C821" s="73" t="s">
        <v>2526</v>
      </c>
      <c r="D821" s="72" t="s">
        <v>2439</v>
      </c>
      <c r="E821" s="2008" t="str">
        <f t="shared" si="39"/>
        <v>LG</v>
      </c>
      <c r="F821" s="54">
        <v>2000</v>
      </c>
      <c r="J821" s="54" t="str">
        <f t="shared" si="36"/>
        <v>LGFCO</v>
      </c>
    </row>
    <row r="822" spans="1:10" hidden="1">
      <c r="A822" s="71" t="s">
        <v>98</v>
      </c>
      <c r="B822" s="75" t="s">
        <v>99</v>
      </c>
      <c r="C822" s="73" t="s">
        <v>3296</v>
      </c>
      <c r="D822" s="72" t="s">
        <v>1960</v>
      </c>
      <c r="E822" s="2008" t="str">
        <f t="shared" si="39"/>
        <v>PT</v>
      </c>
      <c r="F822" s="54">
        <v>2000</v>
      </c>
      <c r="J822" s="54" t="str">
        <f t="shared" si="36"/>
        <v>PT</v>
      </c>
    </row>
    <row r="823" spans="1:10" hidden="1">
      <c r="A823" s="71" t="s">
        <v>1216</v>
      </c>
      <c r="B823" s="75" t="s">
        <v>847</v>
      </c>
      <c r="C823" s="73" t="s">
        <v>3297</v>
      </c>
      <c r="D823" s="72" t="s">
        <v>1960</v>
      </c>
      <c r="E823" s="2008" t="str">
        <f t="shared" si="39"/>
        <v>PH</v>
      </c>
      <c r="F823" s="54">
        <v>2000</v>
      </c>
      <c r="J823" s="54" t="str">
        <f t="shared" si="36"/>
        <v>PHABETONG</v>
      </c>
    </row>
    <row r="824" spans="1:10" hidden="1">
      <c r="A824" s="71" t="s">
        <v>1624</v>
      </c>
      <c r="B824" s="1638" t="s">
        <v>779</v>
      </c>
      <c r="C824" s="73" t="s">
        <v>3298</v>
      </c>
      <c r="D824" s="72" t="s">
        <v>3299</v>
      </c>
      <c r="E824" s="2008" t="str">
        <f t="shared" si="39"/>
        <v>TR</v>
      </c>
      <c r="F824" s="54">
        <v>1</v>
      </c>
      <c r="G824" s="54" t="s">
        <v>512</v>
      </c>
      <c r="J824" s="54" t="str">
        <f t="shared" si="36"/>
        <v>TR15</v>
      </c>
    </row>
    <row r="825" spans="1:10" hidden="1">
      <c r="A825" s="71" t="s">
        <v>935</v>
      </c>
      <c r="B825" s="1638" t="s">
        <v>779</v>
      </c>
      <c r="C825" s="73" t="s">
        <v>3300</v>
      </c>
      <c r="D825" s="72" t="s">
        <v>3299</v>
      </c>
      <c r="E825" s="2008" t="str">
        <f t="shared" si="39"/>
        <v>TR</v>
      </c>
      <c r="F825" s="54">
        <v>1</v>
      </c>
      <c r="G825" s="54" t="s">
        <v>512</v>
      </c>
      <c r="J825" s="54" t="str">
        <f t="shared" si="36"/>
        <v>TR25</v>
      </c>
    </row>
    <row r="826" spans="1:10" hidden="1">
      <c r="A826" s="71" t="s">
        <v>1649</v>
      </c>
      <c r="B826" s="1638" t="s">
        <v>1650</v>
      </c>
      <c r="C826" s="73" t="s">
        <v>3301</v>
      </c>
      <c r="D826" s="72" t="s">
        <v>3299</v>
      </c>
      <c r="E826" s="2008" t="str">
        <f t="shared" si="39"/>
        <v>TR</v>
      </c>
      <c r="F826" s="54">
        <v>1</v>
      </c>
      <c r="G826" s="54" t="s">
        <v>512</v>
      </c>
      <c r="J826" s="54" t="str">
        <f t="shared" si="36"/>
        <v>TR37</v>
      </c>
    </row>
    <row r="827" spans="1:10" hidden="1">
      <c r="A827" s="71" t="s">
        <v>946</v>
      </c>
      <c r="B827" s="1638" t="s">
        <v>1650</v>
      </c>
      <c r="C827" s="73" t="s">
        <v>3302</v>
      </c>
      <c r="D827" s="72" t="s">
        <v>3299</v>
      </c>
      <c r="E827" s="2008" t="str">
        <f t="shared" si="39"/>
        <v>TR</v>
      </c>
      <c r="F827" s="54">
        <v>1</v>
      </c>
      <c r="G827" s="54" t="s">
        <v>512</v>
      </c>
      <c r="J827" s="54" t="str">
        <f t="shared" si="36"/>
        <v>TR50</v>
      </c>
    </row>
    <row r="828" spans="1:10" hidden="1">
      <c r="A828" s="71" t="s">
        <v>1830</v>
      </c>
      <c r="B828" s="1638" t="s">
        <v>214</v>
      </c>
      <c r="C828" s="73" t="s">
        <v>3303</v>
      </c>
      <c r="D828" s="72" t="s">
        <v>3299</v>
      </c>
      <c r="E828" s="2008" t="str">
        <f t="shared" si="39"/>
        <v>TR</v>
      </c>
      <c r="F828" s="54">
        <v>1</v>
      </c>
      <c r="G828" s="54" t="s">
        <v>512</v>
      </c>
      <c r="J828" s="54" t="str">
        <f t="shared" si="36"/>
        <v>TR75</v>
      </c>
    </row>
    <row r="829" spans="1:10">
      <c r="A829" s="71" t="s">
        <v>502</v>
      </c>
      <c r="B829" s="75" t="s">
        <v>1855</v>
      </c>
      <c r="C829" s="73" t="s">
        <v>3304</v>
      </c>
      <c r="D829" s="72" t="s">
        <v>3299</v>
      </c>
      <c r="E829" s="2008" t="str">
        <f t="shared" si="39"/>
        <v>T1</v>
      </c>
      <c r="F829" s="54">
        <v>1</v>
      </c>
      <c r="G829" s="54" t="s">
        <v>512</v>
      </c>
      <c r="J829" s="54" t="str">
        <f t="shared" si="36"/>
        <v>T100</v>
      </c>
    </row>
    <row r="830" spans="1:10" hidden="1">
      <c r="A830" s="71" t="s">
        <v>822</v>
      </c>
      <c r="B830" s="1638" t="s">
        <v>779</v>
      </c>
      <c r="C830" s="73" t="s">
        <v>3305</v>
      </c>
      <c r="D830" s="72" t="s">
        <v>3299</v>
      </c>
      <c r="E830" s="2008" t="str">
        <f t="shared" si="39"/>
        <v>TR</v>
      </c>
      <c r="F830" s="54">
        <v>1</v>
      </c>
      <c r="G830" s="54" t="s">
        <v>512</v>
      </c>
      <c r="J830" s="54" t="str">
        <f t="shared" si="36"/>
        <v>TR151</v>
      </c>
    </row>
    <row r="831" spans="1:10" hidden="1">
      <c r="A831" s="71" t="s">
        <v>1210</v>
      </c>
      <c r="B831" s="1638" t="s">
        <v>779</v>
      </c>
      <c r="C831" s="73" t="s">
        <v>3306</v>
      </c>
      <c r="D831" s="72" t="s">
        <v>3299</v>
      </c>
      <c r="E831" s="2008" t="str">
        <f t="shared" si="39"/>
        <v>TR</v>
      </c>
      <c r="F831" s="54">
        <v>1</v>
      </c>
      <c r="G831" s="54" t="s">
        <v>512</v>
      </c>
      <c r="J831" s="54" t="str">
        <f t="shared" si="36"/>
        <v>TR251</v>
      </c>
    </row>
    <row r="832" spans="1:10" hidden="1">
      <c r="A832" s="71" t="s">
        <v>1211</v>
      </c>
      <c r="B832" s="1638" t="s">
        <v>1743</v>
      </c>
      <c r="C832" s="73" t="s">
        <v>3307</v>
      </c>
      <c r="D832" s="72" t="s">
        <v>3299</v>
      </c>
      <c r="E832" s="2008" t="str">
        <f t="shared" si="39"/>
        <v>TR</v>
      </c>
      <c r="F832" s="54">
        <v>1</v>
      </c>
      <c r="G832" s="54" t="s">
        <v>512</v>
      </c>
      <c r="J832" s="54" t="str">
        <f t="shared" si="36"/>
        <v>TR371</v>
      </c>
    </row>
    <row r="833" spans="1:10" hidden="1">
      <c r="A833" s="71" t="s">
        <v>1212</v>
      </c>
      <c r="B833" s="1638" t="s">
        <v>1650</v>
      </c>
      <c r="C833" s="73" t="s">
        <v>4760</v>
      </c>
      <c r="D833" s="72" t="s">
        <v>3299</v>
      </c>
      <c r="E833" s="2008" t="str">
        <f t="shared" si="39"/>
        <v>TR</v>
      </c>
      <c r="F833" s="54">
        <v>1</v>
      </c>
      <c r="G833" s="54" t="s">
        <v>512</v>
      </c>
      <c r="J833" s="54" t="str">
        <f t="shared" si="36"/>
        <v>TR501</v>
      </c>
    </row>
    <row r="834" spans="1:10" hidden="1">
      <c r="A834" s="71" t="s">
        <v>1213</v>
      </c>
      <c r="B834" s="1638" t="s">
        <v>214</v>
      </c>
      <c r="C834" s="73" t="s">
        <v>4518</v>
      </c>
      <c r="D834" s="72" t="s">
        <v>3299</v>
      </c>
      <c r="E834" s="2008" t="str">
        <f t="shared" si="39"/>
        <v>TR</v>
      </c>
      <c r="F834" s="54">
        <v>1</v>
      </c>
      <c r="G834" s="54" t="s">
        <v>512</v>
      </c>
      <c r="J834" s="54" t="str">
        <f t="shared" si="36"/>
        <v>TR751</v>
      </c>
    </row>
    <row r="835" spans="1:10">
      <c r="A835" s="71" t="s">
        <v>503</v>
      </c>
      <c r="B835" s="75" t="s">
        <v>1855</v>
      </c>
      <c r="C835" s="73" t="s">
        <v>3308</v>
      </c>
      <c r="D835" s="72" t="s">
        <v>3299</v>
      </c>
      <c r="E835" s="2008" t="str">
        <f t="shared" si="39"/>
        <v>T1</v>
      </c>
      <c r="F835" s="54">
        <v>1</v>
      </c>
      <c r="G835" s="54" t="s">
        <v>512</v>
      </c>
      <c r="J835" s="54" t="str">
        <f t="shared" si="36"/>
        <v>T1001</v>
      </c>
    </row>
    <row r="836" spans="1:10">
      <c r="A836" s="73" t="s">
        <v>249</v>
      </c>
      <c r="B836" s="1656" t="s">
        <v>929</v>
      </c>
      <c r="C836" s="73" t="s">
        <v>3309</v>
      </c>
      <c r="D836" s="72" t="s">
        <v>3299</v>
      </c>
      <c r="E836" s="2008" t="str">
        <f t="shared" si="39"/>
        <v>TR</v>
      </c>
      <c r="F836" s="54">
        <v>1</v>
      </c>
      <c r="G836" s="54" t="s">
        <v>512</v>
      </c>
      <c r="J836" s="54" t="str">
        <f t="shared" si="36"/>
        <v>TR100</v>
      </c>
    </row>
    <row r="837" spans="1:10" hidden="1">
      <c r="A837" s="73" t="s">
        <v>1502</v>
      </c>
      <c r="B837" s="1656" t="s">
        <v>1856</v>
      </c>
      <c r="C837" s="73" t="s">
        <v>3310</v>
      </c>
      <c r="D837" s="72" t="s">
        <v>3299</v>
      </c>
      <c r="E837" s="2008" t="str">
        <f t="shared" si="39"/>
        <v>TR</v>
      </c>
      <c r="F837" s="54">
        <v>1</v>
      </c>
      <c r="G837" s="54" t="s">
        <v>512</v>
      </c>
      <c r="J837" s="54" t="str">
        <f t="shared" si="36"/>
        <v>TR160</v>
      </c>
    </row>
    <row r="838" spans="1:10" hidden="1">
      <c r="A838" s="73" t="s">
        <v>1242</v>
      </c>
      <c r="B838" s="1656" t="s">
        <v>1856</v>
      </c>
      <c r="C838" s="73" t="s">
        <v>3311</v>
      </c>
      <c r="D838" s="72" t="s">
        <v>3299</v>
      </c>
      <c r="E838" s="2008" t="str">
        <f t="shared" si="39"/>
        <v>TR</v>
      </c>
      <c r="F838" s="54">
        <v>1</v>
      </c>
      <c r="G838" s="54" t="s">
        <v>512</v>
      </c>
      <c r="J838" s="54" t="str">
        <f t="shared" si="36"/>
        <v>TR180</v>
      </c>
    </row>
    <row r="839" spans="1:10" hidden="1">
      <c r="A839" s="73" t="s">
        <v>2069</v>
      </c>
      <c r="B839" s="1656" t="s">
        <v>1857</v>
      </c>
      <c r="C839" s="73" t="s">
        <v>3312</v>
      </c>
      <c r="D839" s="72" t="s">
        <v>3299</v>
      </c>
      <c r="E839" s="2008" t="str">
        <f t="shared" si="39"/>
        <v>TR</v>
      </c>
      <c r="F839" s="54">
        <v>1</v>
      </c>
      <c r="G839" s="54" t="s">
        <v>512</v>
      </c>
      <c r="J839" s="54" t="str">
        <f t="shared" si="36"/>
        <v>TR250</v>
      </c>
    </row>
    <row r="840" spans="1:10" hidden="1">
      <c r="A840" s="73" t="s">
        <v>436</v>
      </c>
      <c r="B840" s="1656" t="s">
        <v>1857</v>
      </c>
      <c r="C840" s="73" t="s">
        <v>3313</v>
      </c>
      <c r="D840" s="72" t="s">
        <v>3299</v>
      </c>
      <c r="E840" s="2008" t="str">
        <f t="shared" si="39"/>
        <v>TR</v>
      </c>
      <c r="F840" s="54">
        <v>1</v>
      </c>
      <c r="G840" s="54" t="s">
        <v>512</v>
      </c>
      <c r="J840" s="54" t="str">
        <f t="shared" si="36"/>
        <v>TR320</v>
      </c>
    </row>
    <row r="841" spans="1:10" hidden="1">
      <c r="A841" s="73" t="s">
        <v>63</v>
      </c>
      <c r="B841" s="1656" t="s">
        <v>1857</v>
      </c>
      <c r="C841" s="73" t="s">
        <v>3314</v>
      </c>
      <c r="D841" s="72" t="s">
        <v>3299</v>
      </c>
      <c r="E841" s="2008" t="str">
        <f t="shared" si="39"/>
        <v>TR</v>
      </c>
      <c r="F841" s="54">
        <v>1</v>
      </c>
      <c r="G841" s="54" t="s">
        <v>512</v>
      </c>
      <c r="J841" s="54" t="str">
        <f t="shared" si="36"/>
        <v>TR400</v>
      </c>
    </row>
    <row r="842" spans="1:10" hidden="1">
      <c r="A842" s="73" t="s">
        <v>843</v>
      </c>
      <c r="B842" s="1656" t="s">
        <v>1858</v>
      </c>
      <c r="C842" s="73" t="s">
        <v>3315</v>
      </c>
      <c r="D842" s="72" t="s">
        <v>3299</v>
      </c>
      <c r="E842" s="2008" t="str">
        <f t="shared" si="39"/>
        <v>TR</v>
      </c>
      <c r="F842" s="54">
        <v>1</v>
      </c>
      <c r="G842" s="54" t="s">
        <v>512</v>
      </c>
      <c r="J842" s="54" t="str">
        <f t="shared" si="36"/>
        <v>TR560</v>
      </c>
    </row>
    <row r="843" spans="1:10" hidden="1">
      <c r="A843" s="73" t="s">
        <v>877</v>
      </c>
      <c r="B843" s="1656" t="s">
        <v>1858</v>
      </c>
      <c r="C843" s="73" t="s">
        <v>3316</v>
      </c>
      <c r="D843" s="72" t="s">
        <v>3299</v>
      </c>
      <c r="E843" s="2008" t="str">
        <f t="shared" si="39"/>
        <v>TR</v>
      </c>
      <c r="F843" s="54">
        <v>1</v>
      </c>
      <c r="G843" s="54" t="s">
        <v>512</v>
      </c>
      <c r="J843" s="54" t="str">
        <f t="shared" si="36"/>
        <v>TR630</v>
      </c>
    </row>
    <row r="844" spans="1:10" hidden="1">
      <c r="A844" s="73" t="s">
        <v>2166</v>
      </c>
      <c r="B844" s="1656" t="s">
        <v>1859</v>
      </c>
      <c r="C844" s="73" t="s">
        <v>3317</v>
      </c>
      <c r="D844" s="72" t="s">
        <v>3299</v>
      </c>
      <c r="E844" s="2008" t="str">
        <f t="shared" si="39"/>
        <v>TR</v>
      </c>
      <c r="F844" s="54">
        <v>1</v>
      </c>
      <c r="G844" s="54" t="s">
        <v>512</v>
      </c>
      <c r="J844" s="54" t="str">
        <f t="shared" si="36"/>
        <v>TR750</v>
      </c>
    </row>
    <row r="845" spans="1:10">
      <c r="A845" s="73" t="s">
        <v>1980</v>
      </c>
      <c r="B845" s="1656" t="s">
        <v>1859</v>
      </c>
      <c r="C845" s="73" t="s">
        <v>3318</v>
      </c>
      <c r="D845" s="72" t="s">
        <v>3299</v>
      </c>
      <c r="E845" s="2008" t="str">
        <f t="shared" si="39"/>
        <v>TR</v>
      </c>
      <c r="F845" s="54">
        <v>1</v>
      </c>
      <c r="G845" s="54" t="s">
        <v>512</v>
      </c>
      <c r="J845" s="54" t="str">
        <f t="shared" si="36"/>
        <v>TR1000</v>
      </c>
    </row>
    <row r="846" spans="1:10" hidden="1">
      <c r="A846" s="73" t="s">
        <v>694</v>
      </c>
      <c r="B846" s="1656" t="s">
        <v>1859</v>
      </c>
      <c r="C846" s="73" t="s">
        <v>3319</v>
      </c>
      <c r="D846" s="72" t="s">
        <v>3299</v>
      </c>
      <c r="E846" s="2008" t="str">
        <f t="shared" si="39"/>
        <v>TR</v>
      </c>
      <c r="F846" s="54">
        <v>1</v>
      </c>
      <c r="G846" s="54" t="s">
        <v>512</v>
      </c>
      <c r="J846" s="54" t="str">
        <f t="shared" si="36"/>
        <v>TR1250</v>
      </c>
    </row>
    <row r="847" spans="1:10" hidden="1">
      <c r="A847" s="73" t="s">
        <v>1412</v>
      </c>
      <c r="B847" s="1656" t="s">
        <v>1859</v>
      </c>
      <c r="C847" s="73" t="s">
        <v>3320</v>
      </c>
      <c r="D847" s="72" t="s">
        <v>3299</v>
      </c>
      <c r="E847" s="2008" t="str">
        <f t="shared" si="39"/>
        <v>TR</v>
      </c>
      <c r="F847" s="54">
        <v>1</v>
      </c>
      <c r="G847" s="54" t="s">
        <v>512</v>
      </c>
      <c r="J847" s="54" t="str">
        <f t="shared" si="36"/>
        <v>TR1500</v>
      </c>
    </row>
    <row r="848" spans="1:10" hidden="1">
      <c r="A848" s="73" t="s">
        <v>1452</v>
      </c>
      <c r="B848" s="1656" t="s">
        <v>1859</v>
      </c>
      <c r="C848" s="73" t="s">
        <v>3321</v>
      </c>
      <c r="D848" s="72" t="s">
        <v>3299</v>
      </c>
      <c r="E848" s="2008" t="str">
        <f t="shared" si="39"/>
        <v>TR</v>
      </c>
      <c r="F848" s="54">
        <v>1</v>
      </c>
      <c r="G848" s="54" t="s">
        <v>512</v>
      </c>
      <c r="J848" s="54" t="str">
        <f t="shared" si="36"/>
        <v>TR1600</v>
      </c>
    </row>
    <row r="849" spans="1:10" hidden="1">
      <c r="A849" s="73" t="s">
        <v>900</v>
      </c>
      <c r="B849" s="1656" t="s">
        <v>1859</v>
      </c>
      <c r="C849" s="73" t="s">
        <v>3322</v>
      </c>
      <c r="D849" s="72" t="s">
        <v>3299</v>
      </c>
      <c r="E849" s="2008" t="str">
        <f t="shared" si="39"/>
        <v>TR</v>
      </c>
      <c r="F849" s="54">
        <v>1</v>
      </c>
      <c r="G849" s="54" t="s">
        <v>512</v>
      </c>
      <c r="J849" s="54" t="str">
        <f t="shared" ref="J849:J910" si="40">A849</f>
        <v>TR2000</v>
      </c>
    </row>
    <row r="850" spans="1:10" hidden="1">
      <c r="A850" s="73" t="s">
        <v>1421</v>
      </c>
      <c r="B850" s="1656" t="s">
        <v>1859</v>
      </c>
      <c r="C850" s="73" t="s">
        <v>3323</v>
      </c>
      <c r="D850" s="72" t="s">
        <v>3299</v>
      </c>
      <c r="E850" s="2008" t="str">
        <f t="shared" si="39"/>
        <v>TR</v>
      </c>
      <c r="F850" s="54">
        <v>1</v>
      </c>
      <c r="G850" s="54" t="s">
        <v>512</v>
      </c>
      <c r="J850" s="54" t="str">
        <f t="shared" si="40"/>
        <v>TR2500</v>
      </c>
    </row>
    <row r="851" spans="1:10" hidden="1">
      <c r="A851" s="73" t="s">
        <v>1422</v>
      </c>
      <c r="B851" s="1656" t="s">
        <v>1859</v>
      </c>
      <c r="C851" s="73" t="s">
        <v>3324</v>
      </c>
      <c r="D851" s="72" t="s">
        <v>3299</v>
      </c>
      <c r="E851" s="2008" t="str">
        <f t="shared" si="39"/>
        <v>TR</v>
      </c>
      <c r="F851" s="54">
        <v>1</v>
      </c>
      <c r="G851" s="54" t="s">
        <v>512</v>
      </c>
      <c r="J851" s="54" t="str">
        <f t="shared" si="40"/>
        <v>TR3000</v>
      </c>
    </row>
    <row r="852" spans="1:10" hidden="1">
      <c r="A852" s="73" t="s">
        <v>1423</v>
      </c>
      <c r="B852" s="1656" t="s">
        <v>1859</v>
      </c>
      <c r="C852" s="73" t="s">
        <v>3325</v>
      </c>
      <c r="D852" s="72" t="s">
        <v>3299</v>
      </c>
      <c r="E852" s="2008" t="str">
        <f t="shared" si="39"/>
        <v>TR</v>
      </c>
      <c r="F852" s="54">
        <v>1</v>
      </c>
      <c r="G852" s="54" t="s">
        <v>512</v>
      </c>
      <c r="J852" s="54" t="str">
        <f t="shared" si="40"/>
        <v>TR4000</v>
      </c>
    </row>
    <row r="853" spans="1:10">
      <c r="A853" s="71" t="s">
        <v>941</v>
      </c>
      <c r="B853" s="1638" t="s">
        <v>1860</v>
      </c>
      <c r="C853" s="73" t="s">
        <v>4874</v>
      </c>
      <c r="D853" s="72" t="s">
        <v>3299</v>
      </c>
      <c r="E853" s="2008" t="str">
        <f t="shared" si="39"/>
        <v>TR</v>
      </c>
      <c r="F853" s="54">
        <v>1</v>
      </c>
      <c r="G853" s="54" t="s">
        <v>512</v>
      </c>
      <c r="J853" s="54" t="str">
        <f t="shared" si="40"/>
        <v>TR1001</v>
      </c>
    </row>
    <row r="854" spans="1:10" hidden="1">
      <c r="A854" s="71" t="s">
        <v>1503</v>
      </c>
      <c r="B854" s="1638" t="s">
        <v>651</v>
      </c>
      <c r="C854" s="73" t="s">
        <v>3326</v>
      </c>
      <c r="D854" s="72" t="s">
        <v>3299</v>
      </c>
      <c r="E854" s="2008" t="str">
        <f t="shared" si="39"/>
        <v>TR</v>
      </c>
      <c r="F854" s="54">
        <v>1</v>
      </c>
      <c r="G854" s="54" t="s">
        <v>512</v>
      </c>
      <c r="J854" s="54" t="str">
        <f t="shared" si="40"/>
        <v>TR1601</v>
      </c>
    </row>
    <row r="855" spans="1:10" hidden="1">
      <c r="A855" s="71" t="s">
        <v>1241</v>
      </c>
      <c r="B855" s="1638" t="s">
        <v>651</v>
      </c>
      <c r="C855" s="73" t="s">
        <v>3327</v>
      </c>
      <c r="D855" s="72" t="s">
        <v>3299</v>
      </c>
      <c r="E855" s="2008" t="str">
        <f t="shared" si="39"/>
        <v>TR</v>
      </c>
      <c r="F855" s="54">
        <v>1</v>
      </c>
      <c r="G855" s="54" t="s">
        <v>512</v>
      </c>
      <c r="J855" s="54" t="str">
        <f t="shared" si="40"/>
        <v>TR1801</v>
      </c>
    </row>
    <row r="856" spans="1:10" hidden="1">
      <c r="A856" s="71" t="s">
        <v>781</v>
      </c>
      <c r="B856" s="1638" t="s">
        <v>1744</v>
      </c>
      <c r="C856" s="73" t="s">
        <v>3328</v>
      </c>
      <c r="D856" s="72" t="s">
        <v>3299</v>
      </c>
      <c r="E856" s="2008" t="str">
        <f t="shared" si="39"/>
        <v>TR</v>
      </c>
      <c r="F856" s="54">
        <v>1</v>
      </c>
      <c r="G856" s="54" t="s">
        <v>512</v>
      </c>
      <c r="J856" s="54" t="str">
        <f t="shared" si="40"/>
        <v>TR2501</v>
      </c>
    </row>
    <row r="857" spans="1:10" hidden="1">
      <c r="A857" s="71" t="s">
        <v>485</v>
      </c>
      <c r="B857" s="1638" t="s">
        <v>690</v>
      </c>
      <c r="C857" s="73" t="s">
        <v>3329</v>
      </c>
      <c r="D857" s="72" t="s">
        <v>3299</v>
      </c>
      <c r="E857" s="2008" t="str">
        <f t="shared" si="39"/>
        <v>TR</v>
      </c>
      <c r="F857" s="54">
        <v>1</v>
      </c>
      <c r="G857" s="54" t="s">
        <v>512</v>
      </c>
      <c r="J857" s="54" t="str">
        <f t="shared" si="40"/>
        <v>TR3201</v>
      </c>
    </row>
    <row r="858" spans="1:10" hidden="1">
      <c r="A858" s="71" t="s">
        <v>65</v>
      </c>
      <c r="B858" s="1638" t="s">
        <v>2095</v>
      </c>
      <c r="C858" s="73" t="s">
        <v>3330</v>
      </c>
      <c r="D858" s="72" t="s">
        <v>3299</v>
      </c>
      <c r="E858" s="2008" t="str">
        <f t="shared" si="39"/>
        <v>TR</v>
      </c>
      <c r="F858" s="54">
        <v>1</v>
      </c>
      <c r="G858" s="54" t="s">
        <v>512</v>
      </c>
      <c r="J858" s="54" t="str">
        <f t="shared" si="40"/>
        <v>TR4001</v>
      </c>
    </row>
    <row r="859" spans="1:10" hidden="1">
      <c r="A859" s="71" t="s">
        <v>876</v>
      </c>
      <c r="B859" s="1638" t="s">
        <v>2095</v>
      </c>
      <c r="C859" s="73" t="s">
        <v>3331</v>
      </c>
      <c r="D859" s="72" t="s">
        <v>3299</v>
      </c>
      <c r="E859" s="2008" t="str">
        <f t="shared" si="39"/>
        <v>TR</v>
      </c>
      <c r="F859" s="54">
        <v>1</v>
      </c>
      <c r="G859" s="54" t="s">
        <v>512</v>
      </c>
      <c r="J859" s="54" t="str">
        <f t="shared" si="40"/>
        <v>TR5601</v>
      </c>
    </row>
    <row r="860" spans="1:10" hidden="1">
      <c r="A860" s="71" t="s">
        <v>878</v>
      </c>
      <c r="B860" s="1638" t="s">
        <v>2095</v>
      </c>
      <c r="C860" s="73" t="s">
        <v>3332</v>
      </c>
      <c r="D860" s="72" t="s">
        <v>3299</v>
      </c>
      <c r="E860" s="2008" t="str">
        <f t="shared" si="39"/>
        <v>TR</v>
      </c>
      <c r="F860" s="54">
        <v>1</v>
      </c>
      <c r="G860" s="54" t="s">
        <v>512</v>
      </c>
      <c r="J860" s="54" t="str">
        <f t="shared" si="40"/>
        <v>TR6301</v>
      </c>
    </row>
    <row r="861" spans="1:10" hidden="1">
      <c r="A861" s="71" t="s">
        <v>613</v>
      </c>
      <c r="B861" s="1638" t="s">
        <v>652</v>
      </c>
      <c r="C861" s="73" t="s">
        <v>3333</v>
      </c>
      <c r="D861" s="72" t="s">
        <v>3299</v>
      </c>
      <c r="E861" s="2008" t="str">
        <f t="shared" si="39"/>
        <v>TR</v>
      </c>
      <c r="F861" s="54">
        <v>1</v>
      </c>
      <c r="G861" s="54" t="s">
        <v>512</v>
      </c>
      <c r="J861" s="54" t="str">
        <f t="shared" si="40"/>
        <v>TR7501</v>
      </c>
    </row>
    <row r="862" spans="1:10">
      <c r="A862" s="71" t="s">
        <v>614</v>
      </c>
      <c r="B862" s="1638" t="s">
        <v>652</v>
      </c>
      <c r="C862" s="73" t="s">
        <v>3334</v>
      </c>
      <c r="D862" s="72" t="s">
        <v>3299</v>
      </c>
      <c r="E862" s="2008" t="str">
        <f t="shared" si="39"/>
        <v>TR</v>
      </c>
      <c r="F862" s="54">
        <v>1</v>
      </c>
      <c r="G862" s="54" t="s">
        <v>512</v>
      </c>
      <c r="J862" s="54" t="str">
        <f t="shared" si="40"/>
        <v>TR10001</v>
      </c>
    </row>
    <row r="863" spans="1:10" hidden="1">
      <c r="A863" s="71" t="s">
        <v>1413</v>
      </c>
      <c r="B863" s="1638" t="s">
        <v>652</v>
      </c>
      <c r="C863" s="73" t="s">
        <v>3335</v>
      </c>
      <c r="D863" s="72" t="s">
        <v>3299</v>
      </c>
      <c r="E863" s="2008" t="str">
        <f t="shared" si="39"/>
        <v>TR</v>
      </c>
      <c r="F863" s="54">
        <v>1</v>
      </c>
      <c r="G863" s="54" t="s">
        <v>512</v>
      </c>
      <c r="J863" s="54" t="str">
        <f t="shared" si="40"/>
        <v>TR12501</v>
      </c>
    </row>
    <row r="864" spans="1:10" hidden="1">
      <c r="A864" s="71" t="s">
        <v>306</v>
      </c>
      <c r="B864" s="1638" t="s">
        <v>652</v>
      </c>
      <c r="C864" s="73" t="s">
        <v>3336</v>
      </c>
      <c r="D864" s="72" t="s">
        <v>3299</v>
      </c>
      <c r="E864" s="2008" t="str">
        <f t="shared" si="39"/>
        <v>TR</v>
      </c>
      <c r="F864" s="54">
        <v>1</v>
      </c>
      <c r="G864" s="54" t="s">
        <v>512</v>
      </c>
      <c r="J864" s="54" t="str">
        <f t="shared" si="40"/>
        <v>TR15001</v>
      </c>
    </row>
    <row r="865" spans="1:10" hidden="1">
      <c r="A865" s="71" t="s">
        <v>1453</v>
      </c>
      <c r="B865" s="1638" t="s">
        <v>652</v>
      </c>
      <c r="C865" s="73" t="s">
        <v>3337</v>
      </c>
      <c r="D865" s="72" t="s">
        <v>3299</v>
      </c>
      <c r="E865" s="2008" t="str">
        <f t="shared" si="39"/>
        <v>TR</v>
      </c>
      <c r="F865" s="54">
        <v>1</v>
      </c>
      <c r="G865" s="54" t="s">
        <v>512</v>
      </c>
      <c r="J865" s="54" t="str">
        <f t="shared" si="40"/>
        <v>TR16001</v>
      </c>
    </row>
    <row r="866" spans="1:10" hidden="1">
      <c r="A866" s="71" t="s">
        <v>2152</v>
      </c>
      <c r="B866" s="1638" t="s">
        <v>652</v>
      </c>
      <c r="C866" s="73" t="s">
        <v>3338</v>
      </c>
      <c r="D866" s="72" t="s">
        <v>3299</v>
      </c>
      <c r="E866" s="2008" t="str">
        <f t="shared" si="39"/>
        <v>TR</v>
      </c>
      <c r="F866" s="54">
        <v>1</v>
      </c>
      <c r="G866" s="54" t="s">
        <v>512</v>
      </c>
      <c r="J866" s="54" t="str">
        <f t="shared" si="40"/>
        <v>TR20001</v>
      </c>
    </row>
    <row r="867" spans="1:10" hidden="1">
      <c r="A867" s="71" t="s">
        <v>48</v>
      </c>
      <c r="B867" s="1638" t="s">
        <v>652</v>
      </c>
      <c r="C867" s="73" t="s">
        <v>3339</v>
      </c>
      <c r="D867" s="72" t="s">
        <v>3299</v>
      </c>
      <c r="E867" s="2008" t="str">
        <f t="shared" si="39"/>
        <v>TR</v>
      </c>
      <c r="F867" s="54">
        <v>1</v>
      </c>
      <c r="G867" s="54" t="s">
        <v>512</v>
      </c>
      <c r="J867" s="54" t="str">
        <f t="shared" si="40"/>
        <v>TR25001</v>
      </c>
    </row>
    <row r="868" spans="1:10" hidden="1">
      <c r="A868" s="71" t="s">
        <v>1279</v>
      </c>
      <c r="B868" s="1638" t="s">
        <v>652</v>
      </c>
      <c r="C868" s="73" t="s">
        <v>3340</v>
      </c>
      <c r="D868" s="72" t="s">
        <v>3299</v>
      </c>
      <c r="E868" s="2008" t="str">
        <f t="shared" si="39"/>
        <v>TR</v>
      </c>
      <c r="F868" s="54">
        <v>1</v>
      </c>
      <c r="G868" s="54" t="s">
        <v>512</v>
      </c>
      <c r="J868" s="54" t="str">
        <f t="shared" si="40"/>
        <v>TR30001</v>
      </c>
    </row>
    <row r="869" spans="1:10" hidden="1">
      <c r="A869" s="71" t="s">
        <v>804</v>
      </c>
      <c r="B869" s="1638" t="s">
        <v>652</v>
      </c>
      <c r="C869" s="73" t="s">
        <v>3341</v>
      </c>
      <c r="D869" s="72" t="s">
        <v>3299</v>
      </c>
      <c r="E869" s="2008" t="str">
        <f t="shared" si="39"/>
        <v>TR</v>
      </c>
      <c r="F869" s="54">
        <v>1</v>
      </c>
      <c r="G869" s="54" t="s">
        <v>512</v>
      </c>
      <c r="J869" s="54" t="str">
        <f t="shared" si="40"/>
        <v>TR40001</v>
      </c>
    </row>
    <row r="870" spans="1:10" hidden="1">
      <c r="A870" s="71" t="s">
        <v>1655</v>
      </c>
      <c r="B870" s="1657" t="s">
        <v>1651</v>
      </c>
      <c r="C870" s="71" t="s">
        <v>2030</v>
      </c>
      <c r="D870" s="72" t="s">
        <v>2555</v>
      </c>
      <c r="E870" s="2008" t="str">
        <f t="shared" ref="E870:E933" si="41">LEFT(A870,2)</f>
        <v>FC</v>
      </c>
      <c r="F870" s="54">
        <v>3</v>
      </c>
      <c r="G870" s="54" t="s">
        <v>512</v>
      </c>
      <c r="J870" s="54" t="str">
        <f t="shared" si="40"/>
        <v>FCO200-15</v>
      </c>
    </row>
    <row r="871" spans="1:10">
      <c r="A871" s="71" t="s">
        <v>1652</v>
      </c>
      <c r="B871" s="1657" t="s">
        <v>1745</v>
      </c>
      <c r="C871" s="71" t="s">
        <v>95</v>
      </c>
      <c r="D871" s="72" t="s">
        <v>2555</v>
      </c>
      <c r="E871" s="2008" t="str">
        <f t="shared" si="41"/>
        <v>FC</v>
      </c>
      <c r="F871" s="54">
        <v>3</v>
      </c>
      <c r="G871" s="54" t="s">
        <v>512</v>
      </c>
      <c r="J871" s="54" t="str">
        <f t="shared" si="40"/>
        <v>FCO100-22</v>
      </c>
    </row>
    <row r="872" spans="1:10" hidden="1">
      <c r="A872" s="71" t="s">
        <v>1653</v>
      </c>
      <c r="B872" s="1657" t="s">
        <v>435</v>
      </c>
      <c r="C872" s="71" t="s">
        <v>2030</v>
      </c>
      <c r="D872" s="72" t="s">
        <v>2555</v>
      </c>
      <c r="E872" s="2008" t="str">
        <f t="shared" si="41"/>
        <v>FC</v>
      </c>
      <c r="F872" s="54">
        <v>3</v>
      </c>
      <c r="G872" s="54" t="s">
        <v>512</v>
      </c>
      <c r="J872" s="54" t="str">
        <f t="shared" si="40"/>
        <v>FCO200-22</v>
      </c>
    </row>
    <row r="873" spans="1:10">
      <c r="A873" s="71" t="s">
        <v>1656</v>
      </c>
      <c r="B873" s="1657" t="s">
        <v>1651</v>
      </c>
      <c r="C873" s="71" t="s">
        <v>1256</v>
      </c>
      <c r="D873" s="72" t="s">
        <v>2555</v>
      </c>
      <c r="E873" s="2008" t="str">
        <f t="shared" si="41"/>
        <v>lb</v>
      </c>
      <c r="F873" s="54">
        <v>3</v>
      </c>
      <c r="G873" s="54" t="s">
        <v>512</v>
      </c>
      <c r="J873" s="54" t="str">
        <f t="shared" si="40"/>
        <v>lbfco100-15</v>
      </c>
    </row>
    <row r="874" spans="1:10" hidden="1">
      <c r="A874" s="71" t="s">
        <v>1657</v>
      </c>
      <c r="B874" s="1657" t="s">
        <v>1651</v>
      </c>
      <c r="C874" s="71" t="s">
        <v>1255</v>
      </c>
      <c r="D874" s="72" t="s">
        <v>2555</v>
      </c>
      <c r="E874" s="2008" t="str">
        <f t="shared" si="41"/>
        <v>LB</v>
      </c>
      <c r="F874" s="54">
        <v>3</v>
      </c>
      <c r="G874" s="54" t="s">
        <v>512</v>
      </c>
      <c r="J874" s="54" t="str">
        <f t="shared" si="40"/>
        <v>LBFCO200-15</v>
      </c>
    </row>
    <row r="875" spans="1:10">
      <c r="A875" s="71" t="s">
        <v>2125</v>
      </c>
      <c r="B875" s="1657" t="s">
        <v>435</v>
      </c>
      <c r="C875" s="71" t="s">
        <v>1256</v>
      </c>
      <c r="D875" s="72" t="s">
        <v>2555</v>
      </c>
      <c r="E875" s="2008" t="str">
        <f t="shared" si="41"/>
        <v>lb</v>
      </c>
      <c r="F875" s="54">
        <v>3</v>
      </c>
      <c r="G875" s="54" t="s">
        <v>512</v>
      </c>
      <c r="J875" s="54" t="str">
        <f t="shared" si="40"/>
        <v>lbfco100-22</v>
      </c>
    </row>
    <row r="876" spans="1:10" hidden="1">
      <c r="A876" s="71" t="s">
        <v>1654</v>
      </c>
      <c r="B876" s="1657" t="s">
        <v>435</v>
      </c>
      <c r="C876" s="71" t="s">
        <v>1255</v>
      </c>
      <c r="D876" s="72" t="s">
        <v>2555</v>
      </c>
      <c r="E876" s="2008" t="str">
        <f t="shared" si="41"/>
        <v>LB</v>
      </c>
      <c r="F876" s="54">
        <v>3</v>
      </c>
      <c r="G876" s="54" t="s">
        <v>512</v>
      </c>
      <c r="J876" s="54" t="str">
        <f t="shared" si="40"/>
        <v>LBFCO200-22</v>
      </c>
    </row>
    <row r="877" spans="1:10" hidden="1">
      <c r="A877" s="71" t="s">
        <v>446</v>
      </c>
      <c r="B877" s="1658" t="s">
        <v>1389</v>
      </c>
      <c r="C877" s="71" t="s">
        <v>1218</v>
      </c>
      <c r="D877" s="72" t="s">
        <v>2439</v>
      </c>
      <c r="E877" s="2008" t="str">
        <f t="shared" si="41"/>
        <v>DS</v>
      </c>
      <c r="F877" s="54">
        <v>50</v>
      </c>
      <c r="G877" s="54" t="s">
        <v>512</v>
      </c>
      <c r="J877" s="54" t="str">
        <f t="shared" si="40"/>
        <v>DS1P</v>
      </c>
    </row>
    <row r="878" spans="1:10" hidden="1">
      <c r="A878" s="71" t="s">
        <v>393</v>
      </c>
      <c r="B878" s="1658" t="s">
        <v>1389</v>
      </c>
      <c r="C878" s="71" t="s">
        <v>1593</v>
      </c>
      <c r="D878" s="72" t="s">
        <v>2439</v>
      </c>
      <c r="E878" s="2008" t="str">
        <f t="shared" si="41"/>
        <v>DS</v>
      </c>
      <c r="F878" s="54">
        <v>50</v>
      </c>
      <c r="G878" s="54" t="s">
        <v>512</v>
      </c>
      <c r="J878" s="54" t="str">
        <f t="shared" si="40"/>
        <v>DS3P</v>
      </c>
    </row>
    <row r="879" spans="1:10" hidden="1">
      <c r="A879" s="71" t="s">
        <v>1190</v>
      </c>
      <c r="B879" s="1658" t="s">
        <v>128</v>
      </c>
      <c r="C879" s="71" t="s">
        <v>1218</v>
      </c>
      <c r="D879" s="72" t="s">
        <v>2439</v>
      </c>
      <c r="E879" s="2008" t="str">
        <f t="shared" si="41"/>
        <v>DS</v>
      </c>
      <c r="F879" s="54">
        <v>50</v>
      </c>
      <c r="G879" s="54" t="s">
        <v>512</v>
      </c>
      <c r="J879" s="54" t="str">
        <f t="shared" si="40"/>
        <v>DS1PDD</v>
      </c>
    </row>
    <row r="880" spans="1:10" hidden="1">
      <c r="A880" s="71" t="s">
        <v>1191</v>
      </c>
      <c r="B880" s="1658" t="s">
        <v>129</v>
      </c>
      <c r="C880" s="71" t="s">
        <v>1593</v>
      </c>
      <c r="D880" s="72" t="s">
        <v>2439</v>
      </c>
      <c r="E880" s="2008" t="str">
        <f t="shared" si="41"/>
        <v>DS</v>
      </c>
      <c r="F880" s="54">
        <v>50</v>
      </c>
      <c r="G880" s="54" t="s">
        <v>512</v>
      </c>
      <c r="J880" s="54" t="str">
        <f t="shared" si="40"/>
        <v>DS3PDD</v>
      </c>
    </row>
    <row r="881" spans="1:10" hidden="1">
      <c r="A881" s="71" t="s">
        <v>602</v>
      </c>
      <c r="B881" s="1658" t="s">
        <v>1505</v>
      </c>
      <c r="C881" s="71" t="s">
        <v>1702</v>
      </c>
      <c r="D881" s="72" t="s">
        <v>2439</v>
      </c>
      <c r="E881" s="2008" t="str">
        <f t="shared" si="41"/>
        <v>LB</v>
      </c>
      <c r="F881" s="54">
        <v>50</v>
      </c>
      <c r="G881" s="54" t="s">
        <v>512</v>
      </c>
      <c r="J881" s="54" t="str">
        <f t="shared" si="40"/>
        <v>LBS 16</v>
      </c>
    </row>
    <row r="882" spans="1:10" hidden="1">
      <c r="A882" s="71" t="s">
        <v>535</v>
      </c>
      <c r="B882" s="1658" t="s">
        <v>1505</v>
      </c>
      <c r="C882" s="71" t="s">
        <v>3342</v>
      </c>
      <c r="D882" s="72" t="s">
        <v>2439</v>
      </c>
      <c r="E882" s="2008" t="str">
        <f t="shared" si="41"/>
        <v>LB</v>
      </c>
      <c r="F882" s="54">
        <v>50</v>
      </c>
      <c r="G882" s="54" t="s">
        <v>512</v>
      </c>
      <c r="J882" s="54" t="str">
        <f t="shared" si="40"/>
        <v>LBS treo</v>
      </c>
    </row>
    <row r="883" spans="1:10" hidden="1">
      <c r="A883" s="71" t="s">
        <v>2184</v>
      </c>
      <c r="B883" s="1658" t="s">
        <v>642</v>
      </c>
      <c r="C883" s="71" t="s">
        <v>6548</v>
      </c>
      <c r="D883" s="72" t="s">
        <v>2439</v>
      </c>
      <c r="E883" s="2008" t="str">
        <f t="shared" si="41"/>
        <v>RE</v>
      </c>
      <c r="F883" s="54">
        <v>50</v>
      </c>
      <c r="G883" s="54" t="s">
        <v>512</v>
      </c>
      <c r="J883" s="54" t="str">
        <f t="shared" si="40"/>
        <v>REC</v>
      </c>
    </row>
    <row r="884" spans="1:10" hidden="1">
      <c r="A884" s="71" t="s">
        <v>788</v>
      </c>
      <c r="B884" s="1658" t="s">
        <v>668</v>
      </c>
      <c r="C884" s="71" t="s">
        <v>1187</v>
      </c>
      <c r="D884" s="72" t="s">
        <v>2555</v>
      </c>
      <c r="E884" s="2008" t="str">
        <f t="shared" si="41"/>
        <v>LT</v>
      </c>
      <c r="F884" s="54">
        <v>50</v>
      </c>
      <c r="G884" s="54" t="s">
        <v>512</v>
      </c>
      <c r="J884" s="54" t="str">
        <f t="shared" si="40"/>
        <v>LTD</v>
      </c>
    </row>
    <row r="885" spans="1:10" hidden="1">
      <c r="A885" s="71" t="s">
        <v>966</v>
      </c>
      <c r="B885" s="1658" t="s">
        <v>965</v>
      </c>
      <c r="C885" s="71" t="s">
        <v>1194</v>
      </c>
      <c r="D885" s="72" t="s">
        <v>2555</v>
      </c>
      <c r="E885" s="2008" t="str">
        <f t="shared" si="41"/>
        <v>LA</v>
      </c>
      <c r="F885" s="54">
        <v>4</v>
      </c>
      <c r="G885" s="54" t="s">
        <v>512</v>
      </c>
      <c r="J885" s="54" t="str">
        <f t="shared" si="40"/>
        <v>LA12</v>
      </c>
    </row>
    <row r="886" spans="1:10" hidden="1">
      <c r="A886" s="71" t="s">
        <v>1373</v>
      </c>
      <c r="B886" s="1658" t="s">
        <v>965</v>
      </c>
      <c r="C886" s="71" t="s">
        <v>4876</v>
      </c>
      <c r="D886" s="72" t="s">
        <v>2555</v>
      </c>
      <c r="E886" s="2008" t="str">
        <f t="shared" si="41"/>
        <v>LA</v>
      </c>
      <c r="F886" s="54">
        <v>3</v>
      </c>
      <c r="G886" s="54" t="s">
        <v>512</v>
      </c>
      <c r="J886" s="54" t="str">
        <f t="shared" si="40"/>
        <v>LA18</v>
      </c>
    </row>
    <row r="887" spans="1:10" hidden="1">
      <c r="A887" s="71" t="s">
        <v>2158</v>
      </c>
      <c r="B887" s="75" t="s">
        <v>1475</v>
      </c>
      <c r="C887" s="71" t="s">
        <v>3343</v>
      </c>
      <c r="D887" s="72" t="s">
        <v>2555</v>
      </c>
      <c r="E887" s="2008" t="str">
        <f t="shared" si="41"/>
        <v>TI</v>
      </c>
      <c r="F887" s="54">
        <v>2000</v>
      </c>
      <c r="G887" s="54" t="s">
        <v>512</v>
      </c>
      <c r="J887" s="54" t="str">
        <f t="shared" si="40"/>
        <v>TI10</v>
      </c>
    </row>
    <row r="888" spans="1:10" hidden="1">
      <c r="A888" s="71" t="s">
        <v>1667</v>
      </c>
      <c r="B888" s="75" t="s">
        <v>1475</v>
      </c>
      <c r="C888" s="71" t="s">
        <v>3344</v>
      </c>
      <c r="D888" s="72" t="s">
        <v>2555</v>
      </c>
      <c r="E888" s="2008" t="str">
        <f t="shared" si="41"/>
        <v>TI</v>
      </c>
      <c r="F888" s="54">
        <v>2000</v>
      </c>
      <c r="G888" s="54" t="s">
        <v>512</v>
      </c>
      <c r="J888" s="54" t="str">
        <f t="shared" si="40"/>
        <v>TI15</v>
      </c>
    </row>
    <row r="889" spans="1:10" hidden="1">
      <c r="A889" s="71" t="s">
        <v>1729</v>
      </c>
      <c r="B889" s="75" t="s">
        <v>1475</v>
      </c>
      <c r="C889" s="71" t="s">
        <v>3345</v>
      </c>
      <c r="D889" s="72" t="s">
        <v>2555</v>
      </c>
      <c r="E889" s="2008" t="str">
        <f t="shared" si="41"/>
        <v>TI</v>
      </c>
      <c r="F889" s="54">
        <v>2000</v>
      </c>
      <c r="G889" s="54" t="s">
        <v>512</v>
      </c>
      <c r="J889" s="54" t="str">
        <f t="shared" si="40"/>
        <v>TI20</v>
      </c>
    </row>
    <row r="890" spans="1:10" hidden="1">
      <c r="A890" s="71" t="s">
        <v>1727</v>
      </c>
      <c r="B890" s="75" t="s">
        <v>1475</v>
      </c>
      <c r="C890" s="71" t="s">
        <v>3346</v>
      </c>
      <c r="D890" s="72" t="s">
        <v>2555</v>
      </c>
      <c r="E890" s="2008" t="str">
        <f t="shared" si="41"/>
        <v>TI</v>
      </c>
      <c r="F890" s="54">
        <v>2000</v>
      </c>
      <c r="G890" s="54" t="s">
        <v>512</v>
      </c>
      <c r="J890" s="54" t="str">
        <f t="shared" si="40"/>
        <v>TI25</v>
      </c>
    </row>
    <row r="891" spans="1:10" hidden="1">
      <c r="A891" s="71" t="s">
        <v>901</v>
      </c>
      <c r="B891" s="75" t="s">
        <v>1475</v>
      </c>
      <c r="C891" s="71" t="s">
        <v>3347</v>
      </c>
      <c r="D891" s="72" t="s">
        <v>2555</v>
      </c>
      <c r="E891" s="2008" t="str">
        <f t="shared" si="41"/>
        <v>TI</v>
      </c>
      <c r="F891" s="54">
        <v>2000</v>
      </c>
      <c r="G891" s="54" t="s">
        <v>512</v>
      </c>
      <c r="J891" s="54" t="str">
        <f t="shared" si="40"/>
        <v>TI30</v>
      </c>
    </row>
    <row r="892" spans="1:10" hidden="1">
      <c r="A892" s="71" t="s">
        <v>1728</v>
      </c>
      <c r="B892" s="75" t="s">
        <v>1475</v>
      </c>
      <c r="C892" s="71" t="s">
        <v>3348</v>
      </c>
      <c r="D892" s="72" t="s">
        <v>2555</v>
      </c>
      <c r="E892" s="2008" t="str">
        <f t="shared" si="41"/>
        <v>TI</v>
      </c>
      <c r="F892" s="54">
        <v>2000</v>
      </c>
      <c r="G892" s="54" t="s">
        <v>512</v>
      </c>
      <c r="J892" s="54" t="str">
        <f t="shared" si="40"/>
        <v>TI40</v>
      </c>
    </row>
    <row r="893" spans="1:10" hidden="1">
      <c r="A893" s="71" t="s">
        <v>202</v>
      </c>
      <c r="B893" s="75" t="s">
        <v>1475</v>
      </c>
      <c r="C893" s="71" t="s">
        <v>3349</v>
      </c>
      <c r="D893" s="72" t="s">
        <v>2555</v>
      </c>
      <c r="E893" s="2008" t="str">
        <f t="shared" si="41"/>
        <v>TI</v>
      </c>
      <c r="F893" s="54">
        <v>2000</v>
      </c>
      <c r="G893" s="54" t="s">
        <v>512</v>
      </c>
      <c r="J893" s="54" t="str">
        <f t="shared" si="40"/>
        <v>TI50</v>
      </c>
    </row>
    <row r="894" spans="1:10" hidden="1">
      <c r="A894" s="71" t="s">
        <v>2190</v>
      </c>
      <c r="B894" s="75" t="s">
        <v>1475</v>
      </c>
      <c r="C894" s="71" t="s">
        <v>3350</v>
      </c>
      <c r="D894" s="72" t="s">
        <v>2555</v>
      </c>
      <c r="E894" s="2008" t="str">
        <f t="shared" si="41"/>
        <v>TI</v>
      </c>
      <c r="F894" s="54">
        <v>2000</v>
      </c>
      <c r="G894" s="54" t="s">
        <v>512</v>
      </c>
      <c r="J894" s="54" t="str">
        <f t="shared" si="40"/>
        <v>TI60</v>
      </c>
    </row>
    <row r="895" spans="1:10" hidden="1">
      <c r="A895" s="71" t="s">
        <v>2089</v>
      </c>
      <c r="B895" s="75" t="s">
        <v>1475</v>
      </c>
      <c r="C895" s="71" t="s">
        <v>3351</v>
      </c>
      <c r="D895" s="72" t="s">
        <v>2555</v>
      </c>
      <c r="E895" s="2008" t="str">
        <f t="shared" si="41"/>
        <v>TI</v>
      </c>
      <c r="F895" s="54">
        <v>2000</v>
      </c>
      <c r="G895" s="54" t="s">
        <v>512</v>
      </c>
      <c r="J895" s="54" t="str">
        <f t="shared" si="40"/>
        <v>TI75</v>
      </c>
    </row>
    <row r="896" spans="1:10">
      <c r="A896" s="71" t="s">
        <v>1471</v>
      </c>
      <c r="B896" s="75" t="s">
        <v>1475</v>
      </c>
      <c r="C896" s="71" t="s">
        <v>3352</v>
      </c>
      <c r="D896" s="72" t="s">
        <v>2555</v>
      </c>
      <c r="E896" s="2008" t="str">
        <f t="shared" si="41"/>
        <v>TI</v>
      </c>
      <c r="F896" s="54">
        <v>2000</v>
      </c>
      <c r="G896" s="54" t="s">
        <v>512</v>
      </c>
      <c r="J896" s="54" t="str">
        <f t="shared" si="40"/>
        <v>TI100</v>
      </c>
    </row>
    <row r="897" spans="1:10" hidden="1">
      <c r="A897" s="71" t="s">
        <v>817</v>
      </c>
      <c r="B897" s="75" t="s">
        <v>1475</v>
      </c>
      <c r="C897" s="71" t="s">
        <v>3353</v>
      </c>
      <c r="D897" s="72" t="s">
        <v>2555</v>
      </c>
      <c r="E897" s="2008" t="str">
        <f t="shared" si="41"/>
        <v>TI</v>
      </c>
      <c r="F897" s="54">
        <v>2000</v>
      </c>
      <c r="G897" s="54" t="s">
        <v>512</v>
      </c>
      <c r="J897" s="54" t="str">
        <f t="shared" si="40"/>
        <v>TI150</v>
      </c>
    </row>
    <row r="898" spans="1:10" hidden="1">
      <c r="A898" s="71" t="s">
        <v>823</v>
      </c>
      <c r="B898" s="75"/>
      <c r="C898" s="1646" t="s">
        <v>3354</v>
      </c>
      <c r="D898" s="72" t="s">
        <v>2555</v>
      </c>
      <c r="E898" s="2008" t="str">
        <f t="shared" si="41"/>
        <v>TI</v>
      </c>
      <c r="F898" s="54">
        <v>2000</v>
      </c>
      <c r="G898" s="54" t="s">
        <v>512</v>
      </c>
      <c r="J898" s="54" t="str">
        <f t="shared" si="40"/>
        <v>TI755</v>
      </c>
    </row>
    <row r="899" spans="1:10">
      <c r="A899" s="71" t="s">
        <v>2043</v>
      </c>
      <c r="B899" s="75"/>
      <c r="C899" s="1646" t="s">
        <v>3355</v>
      </c>
      <c r="D899" s="72" t="s">
        <v>2555</v>
      </c>
      <c r="E899" s="2008" t="str">
        <f t="shared" si="41"/>
        <v>TI</v>
      </c>
      <c r="F899" s="54">
        <v>2000</v>
      </c>
      <c r="G899" s="54" t="s">
        <v>512</v>
      </c>
      <c r="J899" s="54" t="str">
        <f t="shared" si="40"/>
        <v>TI1005</v>
      </c>
    </row>
    <row r="900" spans="1:10" hidden="1">
      <c r="A900" s="71" t="s">
        <v>2044</v>
      </c>
      <c r="B900" s="75"/>
      <c r="C900" s="1646" t="s">
        <v>3356</v>
      </c>
      <c r="D900" s="72" t="s">
        <v>2555</v>
      </c>
      <c r="E900" s="2008" t="str">
        <f t="shared" si="41"/>
        <v>TI</v>
      </c>
      <c r="F900" s="54">
        <v>2000</v>
      </c>
      <c r="G900" s="54" t="s">
        <v>512</v>
      </c>
      <c r="J900" s="54" t="str">
        <f t="shared" si="40"/>
        <v>TI1255</v>
      </c>
    </row>
    <row r="901" spans="1:10" hidden="1">
      <c r="A901" s="71" t="s">
        <v>2186</v>
      </c>
      <c r="B901" s="75"/>
      <c r="C901" s="1646" t="s">
        <v>3357</v>
      </c>
      <c r="D901" s="72" t="s">
        <v>2555</v>
      </c>
      <c r="E901" s="2008" t="str">
        <f t="shared" si="41"/>
        <v>TI</v>
      </c>
      <c r="F901" s="54">
        <v>2000</v>
      </c>
      <c r="G901" s="54" t="s">
        <v>512</v>
      </c>
      <c r="J901" s="54" t="str">
        <f t="shared" si="40"/>
        <v>TI1505</v>
      </c>
    </row>
    <row r="902" spans="1:10" hidden="1">
      <c r="A902" s="71" t="s">
        <v>1116</v>
      </c>
      <c r="B902" s="75"/>
      <c r="C902" s="1646" t="s">
        <v>3358</v>
      </c>
      <c r="D902" s="72" t="s">
        <v>2555</v>
      </c>
      <c r="E902" s="2008" t="str">
        <f t="shared" si="41"/>
        <v>TI</v>
      </c>
      <c r="F902" s="54">
        <v>2000</v>
      </c>
      <c r="G902" s="54" t="s">
        <v>512</v>
      </c>
      <c r="J902" s="54" t="str">
        <f t="shared" si="40"/>
        <v>TI200</v>
      </c>
    </row>
    <row r="903" spans="1:10" hidden="1">
      <c r="A903" s="71" t="s">
        <v>1668</v>
      </c>
      <c r="B903" s="75"/>
      <c r="C903" s="1646" t="s">
        <v>3359</v>
      </c>
      <c r="D903" s="72" t="s">
        <v>2555</v>
      </c>
      <c r="E903" s="2008" t="str">
        <f t="shared" si="41"/>
        <v>TI</v>
      </c>
      <c r="F903" s="54">
        <v>2000</v>
      </c>
      <c r="G903" s="54" t="s">
        <v>512</v>
      </c>
      <c r="J903" s="54" t="str">
        <f t="shared" si="40"/>
        <v>TI250</v>
      </c>
    </row>
    <row r="904" spans="1:10" hidden="1">
      <c r="A904" s="71" t="s">
        <v>898</v>
      </c>
      <c r="B904" s="75"/>
      <c r="C904" s="1646" t="s">
        <v>3360</v>
      </c>
      <c r="D904" s="72" t="s">
        <v>2555</v>
      </c>
      <c r="E904" s="2008" t="str">
        <f t="shared" si="41"/>
        <v>TI</v>
      </c>
      <c r="F904" s="54">
        <v>2000</v>
      </c>
      <c r="G904" s="54" t="s">
        <v>512</v>
      </c>
      <c r="J904" s="54" t="str">
        <f t="shared" si="40"/>
        <v>TI300</v>
      </c>
    </row>
    <row r="905" spans="1:10" hidden="1">
      <c r="A905" s="71" t="s">
        <v>897</v>
      </c>
      <c r="B905" s="75"/>
      <c r="C905" s="1646" t="s">
        <v>3361</v>
      </c>
      <c r="D905" s="72" t="s">
        <v>2555</v>
      </c>
      <c r="E905" s="2008" t="str">
        <f t="shared" si="41"/>
        <v>TI</v>
      </c>
      <c r="F905" s="54">
        <v>2000</v>
      </c>
      <c r="G905" s="54" t="s">
        <v>512</v>
      </c>
      <c r="J905" s="54" t="str">
        <f t="shared" si="40"/>
        <v>TI400</v>
      </c>
    </row>
    <row r="906" spans="1:10" hidden="1">
      <c r="A906" s="71" t="s">
        <v>2275</v>
      </c>
      <c r="B906" s="75"/>
      <c r="C906" s="1646" t="s">
        <v>3362</v>
      </c>
      <c r="D906" s="72" t="s">
        <v>2555</v>
      </c>
      <c r="E906" s="2008" t="str">
        <f t="shared" si="41"/>
        <v>TI</v>
      </c>
      <c r="F906" s="54">
        <v>2000</v>
      </c>
      <c r="G906" s="54" t="s">
        <v>512</v>
      </c>
      <c r="J906" s="54" t="str">
        <f t="shared" si="40"/>
        <v>TI500</v>
      </c>
    </row>
    <row r="907" spans="1:10" hidden="1">
      <c r="A907" s="71" t="s">
        <v>64</v>
      </c>
      <c r="B907" s="75"/>
      <c r="C907" s="71" t="s">
        <v>3363</v>
      </c>
      <c r="D907" s="72" t="s">
        <v>2555</v>
      </c>
      <c r="E907" s="2008" t="str">
        <f t="shared" si="41"/>
        <v>TI</v>
      </c>
      <c r="F907" s="54">
        <v>2000</v>
      </c>
      <c r="G907" s="54" t="s">
        <v>512</v>
      </c>
      <c r="J907" s="54" t="str">
        <f t="shared" si="40"/>
        <v>TI600</v>
      </c>
    </row>
    <row r="908" spans="1:10" hidden="1">
      <c r="A908" s="71" t="s">
        <v>2042</v>
      </c>
      <c r="B908" s="75"/>
      <c r="C908" s="1646" t="s">
        <v>3364</v>
      </c>
      <c r="D908" s="72" t="s">
        <v>2555</v>
      </c>
      <c r="E908" s="2008" t="str">
        <f t="shared" si="41"/>
        <v>TI</v>
      </c>
      <c r="F908" s="54">
        <v>2000</v>
      </c>
      <c r="G908" s="54" t="s">
        <v>512</v>
      </c>
      <c r="J908" s="54" t="str">
        <f t="shared" si="40"/>
        <v>TI800</v>
      </c>
    </row>
    <row r="909" spans="1:10" hidden="1">
      <c r="A909" s="71" t="s">
        <v>1374</v>
      </c>
      <c r="B909" s="75" t="s">
        <v>317</v>
      </c>
      <c r="C909" s="1646" t="s">
        <v>3365</v>
      </c>
      <c r="D909" s="72" t="s">
        <v>2555</v>
      </c>
      <c r="E909" s="2008" t="str">
        <f t="shared" si="41"/>
        <v>TU</v>
      </c>
      <c r="F909" s="54">
        <v>2000</v>
      </c>
      <c r="G909" s="54" t="s">
        <v>512</v>
      </c>
      <c r="J909" s="54" t="str">
        <f t="shared" si="40"/>
        <v>TU15</v>
      </c>
    </row>
    <row r="910" spans="1:10">
      <c r="A910" s="71" t="s">
        <v>2187</v>
      </c>
      <c r="B910" s="75" t="s">
        <v>317</v>
      </c>
      <c r="C910" s="1646" t="s">
        <v>5607</v>
      </c>
      <c r="D910" s="72" t="s">
        <v>2555</v>
      </c>
      <c r="E910" s="2008" t="str">
        <f t="shared" si="41"/>
        <v>TU</v>
      </c>
      <c r="F910" s="54">
        <v>2000</v>
      </c>
      <c r="G910" s="54" t="s">
        <v>512</v>
      </c>
      <c r="J910" s="54" t="str">
        <f t="shared" si="40"/>
        <v>TU22</v>
      </c>
    </row>
    <row r="911" spans="1:10" hidden="1">
      <c r="A911" s="71" t="s">
        <v>2224</v>
      </c>
      <c r="B911" s="75"/>
      <c r="C911" s="1646" t="s">
        <v>3367</v>
      </c>
      <c r="D911" s="72" t="s">
        <v>2439</v>
      </c>
      <c r="E911" s="2008" t="str">
        <f t="shared" si="41"/>
        <v>TI</v>
      </c>
      <c r="F911" s="54">
        <v>50</v>
      </c>
      <c r="G911" s="54" t="s">
        <v>512</v>
      </c>
      <c r="J911" s="54" t="str">
        <f t="shared" ref="J911:J974" si="42">A911</f>
        <v>TIMER</v>
      </c>
    </row>
    <row r="912" spans="1:10" hidden="1">
      <c r="A912" s="71" t="s">
        <v>1796</v>
      </c>
      <c r="B912" s="75"/>
      <c r="C912" s="1646" t="s">
        <v>1140</v>
      </c>
      <c r="D912" s="72" t="s">
        <v>2555</v>
      </c>
      <c r="E912" s="2008" t="str">
        <f t="shared" si="41"/>
        <v>CO</v>
      </c>
      <c r="F912" s="54">
        <v>50</v>
      </c>
      <c r="G912" s="54" t="s">
        <v>512</v>
      </c>
      <c r="J912" s="54" t="str">
        <f t="shared" si="42"/>
        <v>COTATOR</v>
      </c>
    </row>
    <row r="913" spans="1:10">
      <c r="A913" s="71" t="s">
        <v>67</v>
      </c>
      <c r="B913" s="75"/>
      <c r="C913" s="1646" t="s">
        <v>68</v>
      </c>
      <c r="D913" s="72" t="s">
        <v>2555</v>
      </c>
      <c r="E913" s="2008" t="str">
        <f t="shared" si="41"/>
        <v>CO</v>
      </c>
      <c r="F913" s="54">
        <v>50</v>
      </c>
      <c r="G913" s="54" t="s">
        <v>512</v>
      </c>
      <c r="J913" s="54" t="str">
        <f t="shared" si="42"/>
        <v>CONTACTOR 100</v>
      </c>
    </row>
    <row r="914" spans="1:10" hidden="1">
      <c r="A914" s="71" t="s">
        <v>1644</v>
      </c>
      <c r="B914" s="75"/>
      <c r="C914" s="1646" t="s">
        <v>896</v>
      </c>
      <c r="D914" s="72" t="s">
        <v>2555</v>
      </c>
      <c r="E914" s="2008" t="str">
        <f t="shared" si="41"/>
        <v>CO</v>
      </c>
      <c r="F914" s="54">
        <v>50</v>
      </c>
      <c r="G914" s="54" t="s">
        <v>512</v>
      </c>
      <c r="J914" s="54" t="str">
        <f t="shared" si="42"/>
        <v>CONTACTOR 125</v>
      </c>
    </row>
    <row r="915" spans="1:10">
      <c r="A915" s="71" t="s">
        <v>2191</v>
      </c>
      <c r="B915" s="1638" t="s">
        <v>1387</v>
      </c>
      <c r="C915" s="1646" t="s">
        <v>3368</v>
      </c>
      <c r="D915" s="72" t="s">
        <v>3369</v>
      </c>
      <c r="E915" s="2008" t="str">
        <f t="shared" si="41"/>
        <v>TU</v>
      </c>
      <c r="F915" s="54">
        <v>2000</v>
      </c>
      <c r="G915" s="54" t="s">
        <v>512</v>
      </c>
      <c r="J915" s="54" t="str">
        <f t="shared" si="42"/>
        <v>TUBU1000</v>
      </c>
    </row>
    <row r="916" spans="1:10" hidden="1">
      <c r="A916" s="71" t="s">
        <v>2050</v>
      </c>
      <c r="B916" s="1638" t="s">
        <v>1387</v>
      </c>
      <c r="C916" s="1646" t="s">
        <v>3370</v>
      </c>
      <c r="D916" s="72" t="s">
        <v>3369</v>
      </c>
      <c r="E916" s="2008" t="str">
        <f t="shared" si="41"/>
        <v>TU</v>
      </c>
      <c r="F916" s="54">
        <v>2000</v>
      </c>
      <c r="G916" s="54" t="s">
        <v>512</v>
      </c>
      <c r="J916" s="54" t="str">
        <f t="shared" si="42"/>
        <v>TUBU750</v>
      </c>
    </row>
    <row r="917" spans="1:10" hidden="1">
      <c r="A917" s="71" t="s">
        <v>570</v>
      </c>
      <c r="B917" s="1638" t="s">
        <v>1387</v>
      </c>
      <c r="C917" s="1646" t="s">
        <v>3371</v>
      </c>
      <c r="D917" s="72" t="s">
        <v>3369</v>
      </c>
      <c r="E917" s="2008" t="str">
        <f t="shared" si="41"/>
        <v>TU</v>
      </c>
      <c r="F917" s="54">
        <v>2000</v>
      </c>
      <c r="G917" s="54" t="s">
        <v>512</v>
      </c>
      <c r="J917" s="54" t="str">
        <f t="shared" si="42"/>
        <v>TUBU600</v>
      </c>
    </row>
    <row r="918" spans="1:10" hidden="1">
      <c r="A918" s="71" t="s">
        <v>1959</v>
      </c>
      <c r="B918" s="1638" t="s">
        <v>1387</v>
      </c>
      <c r="C918" s="1646" t="s">
        <v>3372</v>
      </c>
      <c r="D918" s="72" t="s">
        <v>3369</v>
      </c>
      <c r="E918" s="2008" t="str">
        <f t="shared" si="41"/>
        <v>TU</v>
      </c>
      <c r="F918" s="54">
        <v>2000</v>
      </c>
      <c r="G918" s="54" t="s">
        <v>512</v>
      </c>
      <c r="J918" s="54" t="str">
        <f t="shared" si="42"/>
        <v>TUBU400</v>
      </c>
    </row>
    <row r="919" spans="1:10" hidden="1">
      <c r="A919" s="71" t="s">
        <v>1591</v>
      </c>
      <c r="B919" s="1638" t="s">
        <v>1387</v>
      </c>
      <c r="C919" s="1646" t="s">
        <v>3373</v>
      </c>
      <c r="D919" s="72" t="s">
        <v>3369</v>
      </c>
      <c r="E919" s="2008" t="str">
        <f t="shared" si="41"/>
        <v>TU</v>
      </c>
      <c r="F919" s="54">
        <v>2000</v>
      </c>
      <c r="G919" s="54" t="s">
        <v>512</v>
      </c>
      <c r="J919" s="54" t="str">
        <f t="shared" si="42"/>
        <v>TUBU380</v>
      </c>
    </row>
    <row r="920" spans="1:10" hidden="1">
      <c r="A920" s="71" t="s">
        <v>1792</v>
      </c>
      <c r="B920" s="1638" t="s">
        <v>1387</v>
      </c>
      <c r="C920" s="1646" t="s">
        <v>3374</v>
      </c>
      <c r="D920" s="72" t="s">
        <v>3369</v>
      </c>
      <c r="E920" s="2008" t="str">
        <f t="shared" si="41"/>
        <v>TU</v>
      </c>
      <c r="F920" s="54">
        <v>2000</v>
      </c>
      <c r="G920" s="54" t="s">
        <v>512</v>
      </c>
      <c r="J920" s="54" t="str">
        <f t="shared" si="42"/>
        <v>TUBU300</v>
      </c>
    </row>
    <row r="921" spans="1:10" hidden="1">
      <c r="A921" s="71" t="s">
        <v>734</v>
      </c>
      <c r="B921" s="1638" t="s">
        <v>1387</v>
      </c>
      <c r="C921" s="1646" t="s">
        <v>3375</v>
      </c>
      <c r="D921" s="72" t="s">
        <v>3369</v>
      </c>
      <c r="E921" s="2008" t="str">
        <f t="shared" si="41"/>
        <v>TU</v>
      </c>
      <c r="F921" s="54">
        <v>2000</v>
      </c>
      <c r="G921" s="54" t="s">
        <v>512</v>
      </c>
      <c r="J921" s="54" t="str">
        <f t="shared" si="42"/>
        <v>TUBU250</v>
      </c>
    </row>
    <row r="922" spans="1:10" hidden="1">
      <c r="A922" s="71" t="s">
        <v>1957</v>
      </c>
      <c r="B922" s="1638" t="s">
        <v>1387</v>
      </c>
      <c r="C922" s="1646" t="s">
        <v>3376</v>
      </c>
      <c r="D922" s="72" t="s">
        <v>3369</v>
      </c>
      <c r="E922" s="2008" t="str">
        <f t="shared" si="41"/>
        <v>TU</v>
      </c>
      <c r="F922" s="54">
        <v>2000</v>
      </c>
      <c r="G922" s="54" t="s">
        <v>512</v>
      </c>
      <c r="J922" s="54" t="str">
        <f t="shared" si="42"/>
        <v>TUBU220</v>
      </c>
    </row>
    <row r="923" spans="1:10" hidden="1">
      <c r="A923" s="71" t="s">
        <v>727</v>
      </c>
      <c r="B923" s="1638" t="s">
        <v>1387</v>
      </c>
      <c r="C923" s="1646" t="s">
        <v>3377</v>
      </c>
      <c r="D923" s="72" t="s">
        <v>3369</v>
      </c>
      <c r="E923" s="2008" t="str">
        <f t="shared" si="41"/>
        <v>TU</v>
      </c>
      <c r="F923" s="54">
        <v>2000</v>
      </c>
      <c r="G923" s="54" t="s">
        <v>512</v>
      </c>
      <c r="J923" s="54" t="str">
        <f t="shared" si="42"/>
        <v>TUBU160</v>
      </c>
    </row>
    <row r="924" spans="1:10" hidden="1">
      <c r="A924" s="71" t="s">
        <v>486</v>
      </c>
      <c r="B924" s="1638" t="s">
        <v>1387</v>
      </c>
      <c r="C924" s="1646" t="s">
        <v>3378</v>
      </c>
      <c r="D924" s="72" t="s">
        <v>3369</v>
      </c>
      <c r="E924" s="2008" t="str">
        <f t="shared" si="41"/>
        <v>TU</v>
      </c>
      <c r="F924" s="54">
        <v>2000</v>
      </c>
      <c r="G924" s="54" t="s">
        <v>512</v>
      </c>
      <c r="J924" s="54" t="str">
        <f t="shared" si="42"/>
        <v>TUBU135</v>
      </c>
    </row>
    <row r="925" spans="1:10" hidden="1">
      <c r="A925" s="71" t="s">
        <v>772</v>
      </c>
      <c r="B925" s="1638" t="s">
        <v>1387</v>
      </c>
      <c r="C925" s="1646" t="s">
        <v>3379</v>
      </c>
      <c r="D925" s="72" t="s">
        <v>3369</v>
      </c>
      <c r="E925" s="2008" t="str">
        <f t="shared" si="41"/>
        <v>TU</v>
      </c>
      <c r="F925" s="54">
        <v>2000</v>
      </c>
      <c r="G925" s="54" t="s">
        <v>512</v>
      </c>
      <c r="J925" s="54" t="str">
        <f t="shared" si="42"/>
        <v>TUBU130</v>
      </c>
    </row>
    <row r="926" spans="1:10">
      <c r="A926" s="71" t="s">
        <v>1793</v>
      </c>
      <c r="B926" s="1638" t="s">
        <v>1759</v>
      </c>
      <c r="C926" s="1646" t="s">
        <v>3380</v>
      </c>
      <c r="D926" s="72" t="s">
        <v>3369</v>
      </c>
      <c r="E926" s="2008" t="str">
        <f t="shared" si="41"/>
        <v>TU</v>
      </c>
      <c r="F926" s="54">
        <v>2000</v>
      </c>
      <c r="G926" s="54" t="s">
        <v>512</v>
      </c>
      <c r="J926" s="54" t="str">
        <f t="shared" si="42"/>
        <v>TUBU100</v>
      </c>
    </row>
    <row r="927" spans="1:10" hidden="1">
      <c r="A927" s="71" t="s">
        <v>4598</v>
      </c>
      <c r="B927" s="1638" t="s">
        <v>1387</v>
      </c>
      <c r="C927" s="1646" t="s">
        <v>4599</v>
      </c>
      <c r="D927" s="72" t="s">
        <v>3369</v>
      </c>
      <c r="E927" s="2008" t="str">
        <f>LEFT(A927,2)</f>
        <v>TU</v>
      </c>
      <c r="F927" s="54">
        <v>2000</v>
      </c>
      <c r="G927" s="54" t="s">
        <v>512</v>
      </c>
      <c r="J927" s="54" t="str">
        <f t="shared" si="42"/>
        <v>TUBU90</v>
      </c>
    </row>
    <row r="928" spans="1:10" hidden="1">
      <c r="A928" s="71" t="s">
        <v>686</v>
      </c>
      <c r="B928" s="1638" t="s">
        <v>1387</v>
      </c>
      <c r="C928" s="1646" t="s">
        <v>3381</v>
      </c>
      <c r="D928" s="72" t="s">
        <v>3369</v>
      </c>
      <c r="E928" s="2008" t="str">
        <f t="shared" si="41"/>
        <v>TU</v>
      </c>
      <c r="F928" s="54">
        <v>2000</v>
      </c>
      <c r="G928" s="54" t="s">
        <v>512</v>
      </c>
      <c r="J928" s="54" t="str">
        <f t="shared" si="42"/>
        <v>TUBU80</v>
      </c>
    </row>
    <row r="929" spans="1:10" hidden="1">
      <c r="A929" s="71" t="s">
        <v>2192</v>
      </c>
      <c r="B929" s="1638" t="s">
        <v>1387</v>
      </c>
      <c r="C929" s="1646" t="s">
        <v>3382</v>
      </c>
      <c r="D929" s="72" t="s">
        <v>3369</v>
      </c>
      <c r="E929" s="2008" t="str">
        <f t="shared" si="41"/>
        <v>TU</v>
      </c>
      <c r="F929" s="54">
        <v>2000</v>
      </c>
      <c r="G929" s="54" t="s">
        <v>512</v>
      </c>
      <c r="J929" s="54" t="str">
        <f t="shared" si="42"/>
        <v>TUBU60</v>
      </c>
    </row>
    <row r="930" spans="1:10" hidden="1">
      <c r="A930" s="71" t="s">
        <v>758</v>
      </c>
      <c r="B930" s="1638" t="s">
        <v>1387</v>
      </c>
      <c r="C930" s="1646" t="s">
        <v>4875</v>
      </c>
      <c r="D930" s="72" t="s">
        <v>3369</v>
      </c>
      <c r="E930" s="2008" t="str">
        <f t="shared" si="41"/>
        <v>TU</v>
      </c>
      <c r="F930" s="54">
        <v>2000</v>
      </c>
      <c r="G930" s="54" t="s">
        <v>512</v>
      </c>
      <c r="J930" s="54" t="str">
        <f t="shared" si="42"/>
        <v>TUBU40</v>
      </c>
    </row>
    <row r="931" spans="1:10" hidden="1">
      <c r="A931" s="71" t="s">
        <v>1594</v>
      </c>
      <c r="B931" s="1638" t="s">
        <v>1388</v>
      </c>
      <c r="C931" s="71" t="s">
        <v>3383</v>
      </c>
      <c r="D931" s="72" t="s">
        <v>3369</v>
      </c>
      <c r="E931" s="2008" t="str">
        <f t="shared" si="41"/>
        <v>TU</v>
      </c>
      <c r="F931" s="54">
        <v>50</v>
      </c>
      <c r="G931" s="54" t="s">
        <v>512</v>
      </c>
      <c r="J931" s="54" t="str">
        <f t="shared" si="42"/>
        <v>TULBS</v>
      </c>
    </row>
    <row r="932" spans="1:10" hidden="1">
      <c r="A932" s="71" t="s">
        <v>11</v>
      </c>
      <c r="B932" s="1638" t="s">
        <v>1388</v>
      </c>
      <c r="C932" s="71" t="s">
        <v>3384</v>
      </c>
      <c r="D932" s="72" t="s">
        <v>3369</v>
      </c>
      <c r="E932" s="2008" t="str">
        <f t="shared" si="41"/>
        <v>TU</v>
      </c>
      <c r="F932" s="54">
        <v>50</v>
      </c>
      <c r="G932" s="54" t="s">
        <v>512</v>
      </c>
      <c r="J932" s="54" t="str">
        <f t="shared" si="42"/>
        <v>TU LBS</v>
      </c>
    </row>
    <row r="933" spans="1:10" hidden="1">
      <c r="A933" s="71" t="s">
        <v>1790</v>
      </c>
      <c r="B933" s="1638" t="s">
        <v>1388</v>
      </c>
      <c r="C933" s="71" t="s">
        <v>3385</v>
      </c>
      <c r="D933" s="72" t="s">
        <v>3369</v>
      </c>
      <c r="E933" s="2008" t="str">
        <f t="shared" si="41"/>
        <v>TU</v>
      </c>
      <c r="F933" s="54">
        <v>50</v>
      </c>
      <c r="G933" s="54" t="s">
        <v>512</v>
      </c>
      <c r="J933" s="54" t="str">
        <f t="shared" si="42"/>
        <v>TUTC LBS</v>
      </c>
    </row>
    <row r="934" spans="1:10" hidden="1">
      <c r="A934" s="71" t="s">
        <v>1595</v>
      </c>
      <c r="B934" s="1638" t="s">
        <v>1388</v>
      </c>
      <c r="C934" s="71" t="s">
        <v>3386</v>
      </c>
      <c r="D934" s="72" t="s">
        <v>3369</v>
      </c>
      <c r="E934" s="2008" t="str">
        <f t="shared" ref="E934:E998" si="43">LEFT(A934,2)</f>
        <v>TU</v>
      </c>
      <c r="F934" s="54">
        <v>50</v>
      </c>
      <c r="G934" s="54" t="s">
        <v>512</v>
      </c>
      <c r="J934" s="54" t="str">
        <f t="shared" si="42"/>
        <v>TUDS</v>
      </c>
    </row>
    <row r="935" spans="1:10" hidden="1">
      <c r="A935" s="71" t="s">
        <v>1379</v>
      </c>
      <c r="B935" s="1638" t="s">
        <v>1025</v>
      </c>
      <c r="C935" s="71" t="s">
        <v>3387</v>
      </c>
      <c r="D935" s="72" t="s">
        <v>2555</v>
      </c>
      <c r="E935" s="2008" t="str">
        <f t="shared" si="43"/>
        <v>TU</v>
      </c>
      <c r="F935" s="54">
        <v>50</v>
      </c>
      <c r="G935" s="54" t="s">
        <v>512</v>
      </c>
      <c r="J935" s="54" t="str">
        <f t="shared" si="42"/>
        <v>TUACB</v>
      </c>
    </row>
    <row r="936" spans="1:10" hidden="1">
      <c r="A936" s="71" t="s">
        <v>887</v>
      </c>
      <c r="B936" s="1638" t="s">
        <v>1025</v>
      </c>
      <c r="C936" s="71" t="s">
        <v>3388</v>
      </c>
      <c r="D936" s="72" t="s">
        <v>2555</v>
      </c>
      <c r="E936" s="2008" t="str">
        <f t="shared" si="43"/>
        <v>TU</v>
      </c>
      <c r="F936" s="54">
        <v>50</v>
      </c>
      <c r="G936" s="54" t="s">
        <v>512</v>
      </c>
      <c r="J936" s="54" t="str">
        <f t="shared" si="42"/>
        <v>TUACB3200</v>
      </c>
    </row>
    <row r="937" spans="1:10" hidden="1">
      <c r="A937" s="71" t="s">
        <v>628</v>
      </c>
      <c r="B937" s="1638" t="s">
        <v>1025</v>
      </c>
      <c r="C937" s="71" t="s">
        <v>3389</v>
      </c>
      <c r="D937" s="72" t="s">
        <v>2555</v>
      </c>
      <c r="E937" s="2008" t="str">
        <f t="shared" si="43"/>
        <v>TU</v>
      </c>
      <c r="F937" s="54">
        <v>50</v>
      </c>
      <c r="G937" s="54" t="s">
        <v>512</v>
      </c>
      <c r="J937" s="54" t="str">
        <f t="shared" si="42"/>
        <v>TUACB4000</v>
      </c>
    </row>
    <row r="938" spans="1:10" hidden="1">
      <c r="A938" s="71" t="s">
        <v>615</v>
      </c>
      <c r="B938" s="1638" t="s">
        <v>1756</v>
      </c>
      <c r="C938" s="71" t="s">
        <v>3390</v>
      </c>
      <c r="D938" s="72" t="s">
        <v>2555</v>
      </c>
      <c r="E938" s="2008" t="str">
        <f t="shared" si="43"/>
        <v>TU</v>
      </c>
      <c r="F938" s="54">
        <v>50</v>
      </c>
      <c r="G938" s="54" t="s">
        <v>512</v>
      </c>
      <c r="J938" s="54" t="str">
        <f t="shared" si="42"/>
        <v>TUAP3-N</v>
      </c>
    </row>
    <row r="939" spans="1:10" hidden="1">
      <c r="A939" s="71" t="s">
        <v>1024</v>
      </c>
      <c r="B939" s="1638" t="s">
        <v>1755</v>
      </c>
      <c r="C939" s="71" t="s">
        <v>3391</v>
      </c>
      <c r="D939" s="72" t="s">
        <v>2555</v>
      </c>
      <c r="E939" s="2008" t="str">
        <f t="shared" si="43"/>
        <v>TU</v>
      </c>
      <c r="F939" s="54">
        <v>50</v>
      </c>
      <c r="G939" s="54" t="s">
        <v>512</v>
      </c>
      <c r="J939" s="54" t="str">
        <f t="shared" si="42"/>
        <v>TUAP1</v>
      </c>
    </row>
    <row r="940" spans="1:10" hidden="1">
      <c r="A940" s="71" t="s">
        <v>838</v>
      </c>
      <c r="B940" s="75" t="s">
        <v>1669</v>
      </c>
      <c r="C940" s="71" t="s">
        <v>3392</v>
      </c>
      <c r="D940" s="72" t="s">
        <v>2555</v>
      </c>
      <c r="E940" s="2008" t="str">
        <f t="shared" si="43"/>
        <v>TU</v>
      </c>
      <c r="F940" s="54">
        <v>50</v>
      </c>
      <c r="G940" s="54" t="s">
        <v>512</v>
      </c>
      <c r="J940" s="54" t="str">
        <f t="shared" si="42"/>
        <v>TUN</v>
      </c>
    </row>
    <row r="941" spans="1:10" hidden="1">
      <c r="A941" s="71" t="s">
        <v>1915</v>
      </c>
      <c r="B941" s="75" t="s">
        <v>1669</v>
      </c>
      <c r="C941" s="71" t="s">
        <v>3393</v>
      </c>
      <c r="D941" s="72" t="s">
        <v>2555</v>
      </c>
      <c r="E941" s="2008" t="str">
        <f t="shared" si="43"/>
        <v>TU</v>
      </c>
      <c r="F941" s="54">
        <v>50</v>
      </c>
      <c r="G941" s="54" t="s">
        <v>512</v>
      </c>
      <c r="J941" s="54" t="str">
        <f t="shared" si="42"/>
        <v>TUDKDT</v>
      </c>
    </row>
    <row r="942" spans="1:10" hidden="1">
      <c r="A942" s="71" t="s">
        <v>1026</v>
      </c>
      <c r="B942" s="75" t="s">
        <v>1025</v>
      </c>
      <c r="C942" s="71" t="s">
        <v>3394</v>
      </c>
      <c r="D942" s="72" t="s">
        <v>2555</v>
      </c>
      <c r="E942" s="2008" t="str">
        <f t="shared" si="43"/>
        <v>TU</v>
      </c>
      <c r="F942" s="54">
        <v>50</v>
      </c>
      <c r="G942" s="54" t="s">
        <v>512</v>
      </c>
      <c r="J942" s="54" t="str">
        <f t="shared" si="42"/>
        <v>TUAP3</v>
      </c>
    </row>
    <row r="943" spans="1:10" hidden="1">
      <c r="A943" s="71" t="s">
        <v>1504</v>
      </c>
      <c r="B943" s="75" t="s">
        <v>1756</v>
      </c>
      <c r="C943" s="71" t="s">
        <v>3395</v>
      </c>
      <c r="D943" s="72" t="s">
        <v>2555</v>
      </c>
      <c r="E943" s="2008" t="str">
        <f t="shared" si="43"/>
        <v>TU</v>
      </c>
      <c r="F943" s="54">
        <v>50</v>
      </c>
      <c r="G943" s="54" t="s">
        <v>512</v>
      </c>
      <c r="J943" s="54" t="str">
        <f t="shared" si="42"/>
        <v>TUAP3L</v>
      </c>
    </row>
    <row r="944" spans="1:10" hidden="1">
      <c r="A944" s="71" t="s">
        <v>1229</v>
      </c>
      <c r="B944" s="75" t="s">
        <v>1025</v>
      </c>
      <c r="C944" s="71" t="s">
        <v>3396</v>
      </c>
      <c r="D944" s="72" t="s">
        <v>2703</v>
      </c>
      <c r="E944" s="2008" t="str">
        <f t="shared" si="43"/>
        <v>KH</v>
      </c>
      <c r="F944" s="54">
        <v>50</v>
      </c>
      <c r="G944" s="54" t="s">
        <v>512</v>
      </c>
      <c r="J944" s="54" t="str">
        <f t="shared" si="42"/>
        <v>KHUNG TU</v>
      </c>
    </row>
    <row r="945" spans="1:10" hidden="1">
      <c r="A945" s="71" t="s">
        <v>917</v>
      </c>
      <c r="B945" s="75" t="s">
        <v>1669</v>
      </c>
      <c r="C945" s="71" t="s">
        <v>3397</v>
      </c>
      <c r="D945" s="72" t="s">
        <v>2555</v>
      </c>
      <c r="E945" s="2008" t="str">
        <f t="shared" si="43"/>
        <v>TU</v>
      </c>
      <c r="F945" s="54">
        <v>50</v>
      </c>
      <c r="G945" s="54" t="s">
        <v>512</v>
      </c>
      <c r="J945" s="54" t="str">
        <f t="shared" si="42"/>
        <v>TUPP</v>
      </c>
    </row>
    <row r="946" spans="1:10" hidden="1">
      <c r="A946" s="71" t="s">
        <v>2174</v>
      </c>
      <c r="B946" s="72"/>
      <c r="C946" s="71" t="s">
        <v>3398</v>
      </c>
      <c r="D946" s="72" t="s">
        <v>2555</v>
      </c>
      <c r="E946" s="2008" t="str">
        <f t="shared" si="43"/>
        <v>AT</v>
      </c>
      <c r="F946" s="54">
        <v>50</v>
      </c>
      <c r="G946" s="54" t="s">
        <v>512</v>
      </c>
      <c r="J946" s="54" t="str">
        <f t="shared" si="42"/>
        <v>ATM30A</v>
      </c>
    </row>
    <row r="947" spans="1:10" hidden="1">
      <c r="A947" s="71" t="s">
        <v>889</v>
      </c>
      <c r="B947" s="72"/>
      <c r="C947" s="71" t="s">
        <v>3399</v>
      </c>
      <c r="D947" s="72" t="s">
        <v>2555</v>
      </c>
      <c r="E947" s="2008" t="str">
        <f t="shared" si="43"/>
        <v>AT</v>
      </c>
      <c r="F947" s="54">
        <v>50</v>
      </c>
      <c r="G947" s="54" t="s">
        <v>512</v>
      </c>
      <c r="J947" s="54" t="str">
        <f t="shared" si="42"/>
        <v>ATM40A</v>
      </c>
    </row>
    <row r="948" spans="1:10">
      <c r="A948" s="71" t="s">
        <v>1418</v>
      </c>
      <c r="B948" s="72"/>
      <c r="C948" s="71" t="s">
        <v>3400</v>
      </c>
      <c r="D948" s="72" t="s">
        <v>2555</v>
      </c>
      <c r="E948" s="2008" t="str">
        <f t="shared" si="43"/>
        <v>AT</v>
      </c>
      <c r="F948" s="54">
        <v>50</v>
      </c>
      <c r="G948" s="54" t="s">
        <v>512</v>
      </c>
      <c r="J948" s="54" t="str">
        <f t="shared" si="42"/>
        <v>ATM100A</v>
      </c>
    </row>
    <row r="949" spans="1:10" hidden="1">
      <c r="A949" s="71" t="s">
        <v>80</v>
      </c>
      <c r="B949" s="1658" t="s">
        <v>1513</v>
      </c>
      <c r="C949" s="71" t="s">
        <v>4877</v>
      </c>
      <c r="D949" s="72" t="s">
        <v>2555</v>
      </c>
      <c r="E949" s="2008" t="str">
        <f t="shared" si="43"/>
        <v>AT</v>
      </c>
      <c r="F949" s="54">
        <v>5</v>
      </c>
      <c r="G949" s="54" t="s">
        <v>512</v>
      </c>
      <c r="J949" s="54" t="str">
        <f t="shared" si="42"/>
        <v>ATM50</v>
      </c>
    </row>
    <row r="950" spans="1:10" hidden="1">
      <c r="A950" s="71" t="s">
        <v>1724</v>
      </c>
      <c r="B950" s="1658" t="s">
        <v>1513</v>
      </c>
      <c r="C950" s="71" t="s">
        <v>3401</v>
      </c>
      <c r="D950" s="72" t="s">
        <v>2555</v>
      </c>
      <c r="E950" s="2008" t="str">
        <f t="shared" si="43"/>
        <v>AT</v>
      </c>
      <c r="F950" s="54">
        <v>5</v>
      </c>
      <c r="G950" s="54" t="s">
        <v>512</v>
      </c>
      <c r="J950" s="54" t="str">
        <f t="shared" si="42"/>
        <v>ATM80</v>
      </c>
    </row>
    <row r="951" spans="1:10" hidden="1">
      <c r="A951" s="71" t="s">
        <v>81</v>
      </c>
      <c r="B951" s="1658" t="s">
        <v>1513</v>
      </c>
      <c r="C951" s="71" t="s">
        <v>3402</v>
      </c>
      <c r="D951" s="72" t="s">
        <v>2555</v>
      </c>
      <c r="E951" s="2008" t="str">
        <f t="shared" si="43"/>
        <v>AT</v>
      </c>
      <c r="F951" s="54">
        <v>5</v>
      </c>
      <c r="G951" s="54" t="s">
        <v>512</v>
      </c>
      <c r="J951" s="54" t="str">
        <f t="shared" si="42"/>
        <v>ATM75</v>
      </c>
    </row>
    <row r="952" spans="1:10">
      <c r="A952" s="71" t="s">
        <v>793</v>
      </c>
      <c r="B952" s="1658" t="s">
        <v>1513</v>
      </c>
      <c r="C952" s="71" t="s">
        <v>3403</v>
      </c>
      <c r="D952" s="72" t="s">
        <v>2555</v>
      </c>
      <c r="E952" s="2008" t="str">
        <f t="shared" si="43"/>
        <v>AT</v>
      </c>
      <c r="F952" s="54">
        <v>5</v>
      </c>
      <c r="G952" s="54" t="s">
        <v>512</v>
      </c>
      <c r="J952" s="54" t="str">
        <f t="shared" si="42"/>
        <v>ATM100</v>
      </c>
    </row>
    <row r="953" spans="1:10" hidden="1">
      <c r="A953" s="71" t="s">
        <v>1419</v>
      </c>
      <c r="B953" s="1658" t="s">
        <v>1513</v>
      </c>
      <c r="C953" s="71" t="s">
        <v>4539</v>
      </c>
      <c r="D953" s="72" t="s">
        <v>2555</v>
      </c>
      <c r="E953" s="2008" t="str">
        <f t="shared" si="43"/>
        <v>AT</v>
      </c>
      <c r="F953" s="54">
        <v>5</v>
      </c>
      <c r="G953" s="54" t="s">
        <v>512</v>
      </c>
      <c r="J953" s="54" t="str">
        <f t="shared" si="42"/>
        <v>ATM125</v>
      </c>
    </row>
    <row r="954" spans="1:10" hidden="1">
      <c r="A954" s="71" t="s">
        <v>1848</v>
      </c>
      <c r="B954" s="1658" t="s">
        <v>1513</v>
      </c>
      <c r="C954" s="71" t="s">
        <v>3404</v>
      </c>
      <c r="D954" s="72" t="s">
        <v>2555</v>
      </c>
      <c r="E954" s="2008" t="str">
        <f t="shared" si="43"/>
        <v>AT</v>
      </c>
      <c r="F954" s="54">
        <v>5</v>
      </c>
      <c r="G954" s="54" t="s">
        <v>512</v>
      </c>
      <c r="J954" s="54" t="str">
        <f t="shared" si="42"/>
        <v>ATM150</v>
      </c>
    </row>
    <row r="955" spans="1:10" hidden="1">
      <c r="A955" s="71" t="s">
        <v>1427</v>
      </c>
      <c r="B955" s="1658" t="s">
        <v>1513</v>
      </c>
      <c r="C955" s="71" t="s">
        <v>3405</v>
      </c>
      <c r="D955" s="72" t="s">
        <v>2555</v>
      </c>
      <c r="E955" s="2008" t="str">
        <f t="shared" si="43"/>
        <v>AT</v>
      </c>
      <c r="F955" s="54">
        <v>5</v>
      </c>
      <c r="G955" s="54" t="s">
        <v>512</v>
      </c>
      <c r="J955" s="54" t="str">
        <f t="shared" si="42"/>
        <v>ATM200</v>
      </c>
    </row>
    <row r="956" spans="1:10" hidden="1">
      <c r="A956" s="71" t="s">
        <v>1560</v>
      </c>
      <c r="B956" s="1658" t="s">
        <v>1513</v>
      </c>
      <c r="C956" s="71" t="s">
        <v>4454</v>
      </c>
      <c r="D956" s="72" t="s">
        <v>2555</v>
      </c>
      <c r="E956" s="2008" t="str">
        <f t="shared" si="43"/>
        <v>AT</v>
      </c>
      <c r="F956" s="54">
        <v>5</v>
      </c>
      <c r="G956" s="54" t="s">
        <v>512</v>
      </c>
      <c r="J956" s="54" t="str">
        <f t="shared" si="42"/>
        <v>ATM250</v>
      </c>
    </row>
    <row r="957" spans="1:10" hidden="1">
      <c r="A957" s="71" t="s">
        <v>986</v>
      </c>
      <c r="B957" s="1658" t="s">
        <v>1883</v>
      </c>
      <c r="C957" s="71" t="s">
        <v>4506</v>
      </c>
      <c r="D957" s="72" t="s">
        <v>2555</v>
      </c>
      <c r="E957" s="2008" t="str">
        <f t="shared" si="43"/>
        <v>AT</v>
      </c>
      <c r="F957" s="54">
        <v>5</v>
      </c>
      <c r="G957" s="54" t="s">
        <v>512</v>
      </c>
      <c r="J957" s="54" t="str">
        <f t="shared" si="42"/>
        <v>ATM400</v>
      </c>
    </row>
    <row r="958" spans="1:10" hidden="1">
      <c r="A958" s="71" t="s">
        <v>305</v>
      </c>
      <c r="B958" s="1658" t="s">
        <v>543</v>
      </c>
      <c r="C958" s="71" t="s">
        <v>4753</v>
      </c>
      <c r="D958" s="72" t="s">
        <v>2555</v>
      </c>
      <c r="E958" s="2008" t="str">
        <f t="shared" si="43"/>
        <v>AT</v>
      </c>
      <c r="F958" s="54">
        <v>5</v>
      </c>
      <c r="G958" s="54" t="s">
        <v>512</v>
      </c>
      <c r="J958" s="54" t="str">
        <f t="shared" si="42"/>
        <v>ATM500</v>
      </c>
    </row>
    <row r="959" spans="1:10" hidden="1">
      <c r="A959" s="71" t="s">
        <v>542</v>
      </c>
      <c r="B959" s="1658" t="s">
        <v>543</v>
      </c>
      <c r="C959" s="71" t="s">
        <v>3406</v>
      </c>
      <c r="D959" s="72" t="s">
        <v>2555</v>
      </c>
      <c r="E959" s="2008" t="str">
        <f t="shared" si="43"/>
        <v>AT</v>
      </c>
      <c r="F959" s="54">
        <v>5</v>
      </c>
      <c r="G959" s="54" t="s">
        <v>512</v>
      </c>
      <c r="J959" s="54" t="str">
        <f t="shared" si="42"/>
        <v>ATM600</v>
      </c>
    </row>
    <row r="960" spans="1:10" hidden="1">
      <c r="A960" s="71" t="s">
        <v>960</v>
      </c>
      <c r="B960" s="1658" t="s">
        <v>543</v>
      </c>
      <c r="C960" s="71" t="s">
        <v>3407</v>
      </c>
      <c r="D960" s="72" t="s">
        <v>2555</v>
      </c>
      <c r="E960" s="2008" t="str">
        <f t="shared" si="43"/>
        <v>AT</v>
      </c>
      <c r="F960" s="54">
        <v>5</v>
      </c>
      <c r="G960" s="54" t="s">
        <v>512</v>
      </c>
      <c r="J960" s="54" t="str">
        <f t="shared" si="42"/>
        <v>ATM630</v>
      </c>
    </row>
    <row r="961" spans="1:10" hidden="1">
      <c r="A961" s="71" t="s">
        <v>655</v>
      </c>
      <c r="B961" s="1658" t="s">
        <v>543</v>
      </c>
      <c r="C961" s="71" t="s">
        <v>3408</v>
      </c>
      <c r="D961" s="72" t="s">
        <v>2555</v>
      </c>
      <c r="E961" s="2008" t="str">
        <f t="shared" si="43"/>
        <v>AT</v>
      </c>
      <c r="F961" s="54">
        <v>5</v>
      </c>
      <c r="G961" s="54" t="s">
        <v>512</v>
      </c>
      <c r="J961" s="54" t="str">
        <f t="shared" si="42"/>
        <v>ATM800</v>
      </c>
    </row>
    <row r="962" spans="1:10">
      <c r="A962" s="71" t="s">
        <v>656</v>
      </c>
      <c r="B962" s="1658" t="s">
        <v>825</v>
      </c>
      <c r="C962" s="71" t="s">
        <v>3409</v>
      </c>
      <c r="D962" s="72" t="s">
        <v>2555</v>
      </c>
      <c r="E962" s="2008" t="str">
        <f t="shared" si="43"/>
        <v>AT</v>
      </c>
      <c r="F962" s="54">
        <v>5</v>
      </c>
      <c r="G962" s="54" t="s">
        <v>512</v>
      </c>
      <c r="J962" s="54" t="str">
        <f t="shared" si="42"/>
        <v>ATM1000</v>
      </c>
    </row>
    <row r="963" spans="1:10" hidden="1">
      <c r="A963" s="71" t="s">
        <v>1376</v>
      </c>
      <c r="B963" s="1658" t="s">
        <v>825</v>
      </c>
      <c r="C963" s="71" t="s">
        <v>3410</v>
      </c>
      <c r="D963" s="72" t="s">
        <v>2555</v>
      </c>
      <c r="E963" s="2008" t="str">
        <f t="shared" si="43"/>
        <v>AT</v>
      </c>
      <c r="F963" s="54">
        <v>5</v>
      </c>
      <c r="G963" s="54" t="s">
        <v>512</v>
      </c>
      <c r="J963" s="54" t="str">
        <f t="shared" si="42"/>
        <v>ATM1250</v>
      </c>
    </row>
    <row r="964" spans="1:10" hidden="1">
      <c r="A964" s="71" t="s">
        <v>1377</v>
      </c>
      <c r="B964" s="1658" t="s">
        <v>825</v>
      </c>
      <c r="C964" s="71" t="s">
        <v>3411</v>
      </c>
      <c r="D964" s="72" t="s">
        <v>2555</v>
      </c>
      <c r="E964" s="2008" t="str">
        <f t="shared" si="43"/>
        <v>AT</v>
      </c>
      <c r="F964" s="54">
        <v>5</v>
      </c>
      <c r="G964" s="54" t="s">
        <v>512</v>
      </c>
      <c r="J964" s="54" t="str">
        <f t="shared" si="42"/>
        <v>ATM1600</v>
      </c>
    </row>
    <row r="965" spans="1:10" hidden="1">
      <c r="A965" s="71" t="s">
        <v>641</v>
      </c>
      <c r="B965" s="1658" t="s">
        <v>825</v>
      </c>
      <c r="C965" s="71" t="s">
        <v>3412</v>
      </c>
      <c r="D965" s="72" t="s">
        <v>2555</v>
      </c>
      <c r="E965" s="2008" t="str">
        <f t="shared" si="43"/>
        <v>AC</v>
      </c>
      <c r="F965" s="54">
        <v>2</v>
      </c>
      <c r="G965" s="54" t="s">
        <v>512</v>
      </c>
      <c r="J965" s="54" t="str">
        <f t="shared" si="42"/>
        <v>ACB1600</v>
      </c>
    </row>
    <row r="966" spans="1:10" hidden="1">
      <c r="A966" s="71" t="s">
        <v>440</v>
      </c>
      <c r="B966" s="1658" t="s">
        <v>825</v>
      </c>
      <c r="C966" s="71" t="s">
        <v>3413</v>
      </c>
      <c r="D966" s="72" t="s">
        <v>2555</v>
      </c>
      <c r="E966" s="2008" t="str">
        <f t="shared" si="43"/>
        <v>AC</v>
      </c>
      <c r="F966" s="54">
        <v>2</v>
      </c>
      <c r="G966" s="54" t="s">
        <v>512</v>
      </c>
      <c r="J966" s="54" t="str">
        <f t="shared" si="42"/>
        <v>ACB2000</v>
      </c>
    </row>
    <row r="967" spans="1:10" hidden="1">
      <c r="A967" s="71" t="s">
        <v>1135</v>
      </c>
      <c r="B967" s="1658" t="s">
        <v>825</v>
      </c>
      <c r="C967" s="71" t="s">
        <v>3414</v>
      </c>
      <c r="D967" s="72" t="s">
        <v>2555</v>
      </c>
      <c r="E967" s="2008" t="str">
        <f t="shared" si="43"/>
        <v>AC</v>
      </c>
      <c r="F967" s="54">
        <v>2</v>
      </c>
      <c r="G967" s="54" t="s">
        <v>512</v>
      </c>
      <c r="J967" s="54" t="str">
        <f t="shared" si="42"/>
        <v>ACB2500</v>
      </c>
    </row>
    <row r="968" spans="1:10" hidden="1">
      <c r="A968" s="71" t="s">
        <v>2185</v>
      </c>
      <c r="B968" s="1658" t="s">
        <v>825</v>
      </c>
      <c r="C968" s="71" t="s">
        <v>3415</v>
      </c>
      <c r="D968" s="72" t="s">
        <v>2555</v>
      </c>
      <c r="E968" s="2008" t="str">
        <f t="shared" si="43"/>
        <v>AC</v>
      </c>
      <c r="F968" s="54">
        <v>2</v>
      </c>
      <c r="G968" s="54" t="s">
        <v>512</v>
      </c>
      <c r="J968" s="54" t="str">
        <f t="shared" si="42"/>
        <v>ACB3200</v>
      </c>
    </row>
    <row r="969" spans="1:10" hidden="1">
      <c r="A969" s="71" t="s">
        <v>824</v>
      </c>
      <c r="B969" s="1658" t="s">
        <v>825</v>
      </c>
      <c r="C969" s="71" t="s">
        <v>3416</v>
      </c>
      <c r="D969" s="72" t="s">
        <v>2555</v>
      </c>
      <c r="E969" s="2008" t="str">
        <f t="shared" si="43"/>
        <v>AC</v>
      </c>
      <c r="F969" s="54">
        <v>2</v>
      </c>
      <c r="G969" s="54" t="s">
        <v>512</v>
      </c>
      <c r="J969" s="54" t="str">
        <f t="shared" si="42"/>
        <v>ACB4000</v>
      </c>
    </row>
    <row r="970" spans="1:10" hidden="1">
      <c r="A970" s="71" t="s">
        <v>1454</v>
      </c>
      <c r="B970" s="1658" t="s">
        <v>825</v>
      </c>
      <c r="C970" s="71" t="s">
        <v>3417</v>
      </c>
      <c r="D970" s="72" t="s">
        <v>2555</v>
      </c>
      <c r="E970" s="2008" t="str">
        <f t="shared" si="43"/>
        <v>AC</v>
      </c>
      <c r="F970" s="54">
        <v>2</v>
      </c>
      <c r="G970" s="54" t="s">
        <v>512</v>
      </c>
      <c r="J970" s="54" t="str">
        <f t="shared" si="42"/>
        <v>ACB4000-130</v>
      </c>
    </row>
    <row r="971" spans="1:10" hidden="1">
      <c r="A971" s="71" t="s">
        <v>1834</v>
      </c>
      <c r="B971" s="1658" t="s">
        <v>825</v>
      </c>
      <c r="C971" s="71" t="s">
        <v>3418</v>
      </c>
      <c r="D971" s="72" t="s">
        <v>2555</v>
      </c>
      <c r="E971" s="2008" t="str">
        <f t="shared" si="43"/>
        <v>AC</v>
      </c>
      <c r="F971" s="54">
        <v>2</v>
      </c>
      <c r="G971" s="54" t="s">
        <v>512</v>
      </c>
      <c r="J971" s="54" t="str">
        <f t="shared" si="42"/>
        <v>ACB6300</v>
      </c>
    </row>
    <row r="972" spans="1:10" hidden="1">
      <c r="A972" s="71" t="s">
        <v>1561</v>
      </c>
      <c r="B972" s="1658"/>
      <c r="C972" s="71" t="s">
        <v>3419</v>
      </c>
      <c r="D972" s="72" t="s">
        <v>2555</v>
      </c>
      <c r="E972" s="2008" t="str">
        <f t="shared" si="43"/>
        <v>AP</v>
      </c>
      <c r="F972" s="54">
        <v>50</v>
      </c>
      <c r="G972" s="54" t="s">
        <v>512</v>
      </c>
      <c r="J972" s="54" t="str">
        <f t="shared" si="42"/>
        <v>AP250</v>
      </c>
    </row>
    <row r="973" spans="1:10" hidden="1">
      <c r="A973" s="71" t="s">
        <v>1665</v>
      </c>
      <c r="B973" s="1658"/>
      <c r="C973" s="71" t="s">
        <v>3420</v>
      </c>
      <c r="D973" s="72" t="s">
        <v>2555</v>
      </c>
      <c r="E973" s="2008" t="str">
        <f t="shared" si="43"/>
        <v>AP</v>
      </c>
      <c r="F973" s="54">
        <v>50</v>
      </c>
      <c r="G973" s="54" t="s">
        <v>512</v>
      </c>
      <c r="J973" s="54" t="str">
        <f t="shared" si="42"/>
        <v>AP150</v>
      </c>
    </row>
    <row r="974" spans="1:10" hidden="1">
      <c r="A974" s="71" t="s">
        <v>888</v>
      </c>
      <c r="B974" s="75"/>
      <c r="C974" s="71" t="s">
        <v>3421</v>
      </c>
      <c r="D974" s="72" t="s">
        <v>2600</v>
      </c>
      <c r="E974" s="2008" t="str">
        <f t="shared" si="43"/>
        <v>CH</v>
      </c>
      <c r="F974" s="54">
        <v>50</v>
      </c>
      <c r="G974" s="54" t="s">
        <v>512</v>
      </c>
      <c r="J974" s="54" t="str">
        <f t="shared" si="42"/>
        <v>CHI3K</v>
      </c>
    </row>
    <row r="975" spans="1:10" hidden="1">
      <c r="A975" s="71" t="s">
        <v>26</v>
      </c>
      <c r="B975" s="75"/>
      <c r="C975" s="71" t="s">
        <v>3422</v>
      </c>
      <c r="D975" s="72" t="s">
        <v>2600</v>
      </c>
      <c r="E975" s="2008" t="str">
        <f t="shared" si="43"/>
        <v>CH</v>
      </c>
      <c r="F975" s="54">
        <v>50</v>
      </c>
      <c r="G975" s="54" t="s">
        <v>512</v>
      </c>
      <c r="J975" s="54" t="str">
        <f t="shared" ref="J975:J1038" si="44">A975</f>
        <v>CHI6K</v>
      </c>
    </row>
    <row r="976" spans="1:10" hidden="1">
      <c r="A976" s="71" t="s">
        <v>1027</v>
      </c>
      <c r="B976" s="75"/>
      <c r="C976" s="71" t="s">
        <v>3423</v>
      </c>
      <c r="D976" s="72" t="s">
        <v>2600</v>
      </c>
      <c r="E976" s="2008" t="str">
        <f t="shared" si="43"/>
        <v>CH</v>
      </c>
      <c r="F976" s="54">
        <v>50</v>
      </c>
      <c r="G976" s="54" t="s">
        <v>512</v>
      </c>
      <c r="J976" s="54" t="str">
        <f t="shared" si="44"/>
        <v>CHI8K</v>
      </c>
    </row>
    <row r="977" spans="1:10" hidden="1">
      <c r="A977" s="71" t="s">
        <v>1146</v>
      </c>
      <c r="B977" s="75"/>
      <c r="C977" s="71" t="s">
        <v>3424</v>
      </c>
      <c r="D977" s="72" t="s">
        <v>2600</v>
      </c>
      <c r="E977" s="2008" t="str">
        <f t="shared" si="43"/>
        <v>CH</v>
      </c>
      <c r="F977" s="54">
        <v>50</v>
      </c>
      <c r="G977" s="54" t="s">
        <v>512</v>
      </c>
      <c r="J977" s="54" t="str">
        <f t="shared" si="44"/>
        <v>CHI10K</v>
      </c>
    </row>
    <row r="978" spans="1:10" hidden="1">
      <c r="A978" s="71" t="s">
        <v>2065</v>
      </c>
      <c r="B978" s="75"/>
      <c r="C978" s="71" t="s">
        <v>3425</v>
      </c>
      <c r="D978" s="72" t="s">
        <v>2600</v>
      </c>
      <c r="E978" s="2008" t="str">
        <f t="shared" si="43"/>
        <v>CH</v>
      </c>
      <c r="F978" s="54">
        <v>50</v>
      </c>
      <c r="G978" s="54" t="s">
        <v>512</v>
      </c>
      <c r="J978" s="54" t="str">
        <f t="shared" si="44"/>
        <v>CHI12K</v>
      </c>
    </row>
    <row r="979" spans="1:10" hidden="1">
      <c r="A979" s="71" t="s">
        <v>2066</v>
      </c>
      <c r="B979" s="75"/>
      <c r="C979" s="71" t="s">
        <v>3426</v>
      </c>
      <c r="D979" s="72" t="s">
        <v>2600</v>
      </c>
      <c r="E979" s="2008" t="str">
        <f t="shared" si="43"/>
        <v>CH</v>
      </c>
      <c r="F979" s="54">
        <v>50</v>
      </c>
      <c r="G979" s="54" t="s">
        <v>512</v>
      </c>
      <c r="J979" s="54" t="str">
        <f t="shared" si="44"/>
        <v>CHI15K</v>
      </c>
    </row>
    <row r="980" spans="1:10" hidden="1">
      <c r="A980" s="71" t="s">
        <v>1161</v>
      </c>
      <c r="B980" s="75"/>
      <c r="C980" s="71" t="s">
        <v>3427</v>
      </c>
      <c r="D980" s="72" t="s">
        <v>2600</v>
      </c>
      <c r="E980" s="2008" t="str">
        <f t="shared" si="43"/>
        <v>CH</v>
      </c>
      <c r="F980" s="54">
        <v>50</v>
      </c>
      <c r="G980" s="54" t="s">
        <v>512</v>
      </c>
      <c r="J980" s="54" t="str">
        <f t="shared" si="44"/>
        <v>CHI20K</v>
      </c>
    </row>
    <row r="981" spans="1:10" hidden="1">
      <c r="A981" s="71" t="s">
        <v>2064</v>
      </c>
      <c r="B981" s="75"/>
      <c r="C981" s="71" t="s">
        <v>3428</v>
      </c>
      <c r="D981" s="72" t="s">
        <v>2600</v>
      </c>
      <c r="E981" s="2008" t="str">
        <f t="shared" si="43"/>
        <v>CH</v>
      </c>
      <c r="F981" s="54">
        <v>50</v>
      </c>
      <c r="G981" s="54" t="s">
        <v>512</v>
      </c>
      <c r="J981" s="54" t="str">
        <f t="shared" si="44"/>
        <v>CHI25K</v>
      </c>
    </row>
    <row r="982" spans="1:10" hidden="1">
      <c r="A982" s="71" t="s">
        <v>2067</v>
      </c>
      <c r="B982" s="75"/>
      <c r="C982" s="71" t="s">
        <v>3429</v>
      </c>
      <c r="D982" s="72" t="s">
        <v>2600</v>
      </c>
      <c r="E982" s="2008" t="str">
        <f t="shared" si="43"/>
        <v>CH</v>
      </c>
      <c r="F982" s="54">
        <v>50</v>
      </c>
      <c r="G982" s="54" t="s">
        <v>512</v>
      </c>
      <c r="J982" s="54" t="str">
        <f t="shared" si="44"/>
        <v>CHI30K</v>
      </c>
    </row>
    <row r="983" spans="1:10" hidden="1">
      <c r="A983" s="71" t="s">
        <v>2068</v>
      </c>
      <c r="B983" s="75"/>
      <c r="C983" s="71" t="s">
        <v>3430</v>
      </c>
      <c r="D983" s="72" t="s">
        <v>2600</v>
      </c>
      <c r="E983" s="2008" t="str">
        <f t="shared" si="43"/>
        <v>CH</v>
      </c>
      <c r="F983" s="54">
        <v>50</v>
      </c>
      <c r="G983" s="54" t="s">
        <v>512</v>
      </c>
      <c r="J983" s="54" t="str">
        <f t="shared" si="44"/>
        <v>CHI40K</v>
      </c>
    </row>
    <row r="984" spans="1:10" hidden="1">
      <c r="A984" s="71" t="s">
        <v>541</v>
      </c>
      <c r="B984" s="75"/>
      <c r="C984" s="71" t="s">
        <v>3431</v>
      </c>
      <c r="D984" s="72" t="s">
        <v>2600</v>
      </c>
      <c r="E984" s="2008" t="str">
        <f t="shared" si="43"/>
        <v>CH</v>
      </c>
      <c r="F984" s="54">
        <v>50</v>
      </c>
      <c r="G984" s="54" t="s">
        <v>512</v>
      </c>
      <c r="J984" s="54" t="str">
        <f t="shared" si="44"/>
        <v>CHI50K</v>
      </c>
    </row>
    <row r="985" spans="1:10" hidden="1">
      <c r="A985" s="71" t="s">
        <v>693</v>
      </c>
      <c r="B985" s="75"/>
      <c r="C985" s="71" t="s">
        <v>3432</v>
      </c>
      <c r="D985" s="72" t="s">
        <v>2600</v>
      </c>
      <c r="E985" s="2008" t="str">
        <f t="shared" si="43"/>
        <v>CH</v>
      </c>
      <c r="F985" s="54">
        <v>50</v>
      </c>
      <c r="G985" s="54" t="s">
        <v>512</v>
      </c>
      <c r="J985" s="54" t="str">
        <f t="shared" si="44"/>
        <v>CHI65K</v>
      </c>
    </row>
    <row r="986" spans="1:10" hidden="1">
      <c r="A986" s="71" t="s">
        <v>555</v>
      </c>
      <c r="B986" s="75"/>
      <c r="C986" s="71" t="s">
        <v>3433</v>
      </c>
      <c r="D986" s="72" t="s">
        <v>2600</v>
      </c>
      <c r="E986" s="2008" t="str">
        <f t="shared" si="43"/>
        <v>CH</v>
      </c>
      <c r="F986" s="54">
        <v>50</v>
      </c>
      <c r="G986" s="54" t="s">
        <v>512</v>
      </c>
      <c r="J986" s="54" t="str">
        <f t="shared" si="44"/>
        <v>CHI80K</v>
      </c>
    </row>
    <row r="987" spans="1:10">
      <c r="A987" s="71" t="s">
        <v>561</v>
      </c>
      <c r="B987" s="75"/>
      <c r="C987" s="71" t="s">
        <v>3434</v>
      </c>
      <c r="D987" s="72" t="s">
        <v>2600</v>
      </c>
      <c r="E987" s="2008" t="str">
        <f t="shared" si="43"/>
        <v>CH</v>
      </c>
      <c r="F987" s="54">
        <v>50</v>
      </c>
      <c r="G987" s="54" t="s">
        <v>512</v>
      </c>
      <c r="J987" s="54" t="str">
        <f t="shared" si="44"/>
        <v>CHI100K</v>
      </c>
    </row>
    <row r="988" spans="1:10" hidden="1">
      <c r="A988" s="71" t="s">
        <v>562</v>
      </c>
      <c r="B988" s="75"/>
      <c r="C988" s="71" t="s">
        <v>3435</v>
      </c>
      <c r="D988" s="72" t="s">
        <v>2600</v>
      </c>
      <c r="E988" s="2008" t="str">
        <f t="shared" si="43"/>
        <v>CH</v>
      </c>
      <c r="F988" s="54">
        <v>50</v>
      </c>
      <c r="G988" s="54" t="s">
        <v>512</v>
      </c>
      <c r="J988" s="54" t="str">
        <f t="shared" si="44"/>
        <v>CHI140K</v>
      </c>
    </row>
    <row r="989" spans="1:10">
      <c r="A989" s="71" t="s">
        <v>1584</v>
      </c>
      <c r="B989" s="1658"/>
      <c r="C989" s="71" t="s">
        <v>3436</v>
      </c>
      <c r="D989" s="72" t="s">
        <v>2555</v>
      </c>
      <c r="E989" s="2008" t="str">
        <f t="shared" si="43"/>
        <v>DK</v>
      </c>
      <c r="F989" s="54">
        <v>2000</v>
      </c>
      <c r="G989" s="54" t="s">
        <v>512</v>
      </c>
      <c r="J989" s="54" t="str">
        <f t="shared" si="44"/>
        <v>DK1p100A</v>
      </c>
    </row>
    <row r="990" spans="1:10" hidden="1">
      <c r="A990" s="71" t="s">
        <v>2193</v>
      </c>
      <c r="B990" s="1658"/>
      <c r="C990" s="71" t="s">
        <v>3437</v>
      </c>
      <c r="D990" s="72" t="s">
        <v>2555</v>
      </c>
      <c r="E990" s="2008" t="str">
        <f t="shared" si="43"/>
        <v>DK</v>
      </c>
      <c r="F990" s="54">
        <v>2000</v>
      </c>
      <c r="G990" s="54" t="s">
        <v>512</v>
      </c>
      <c r="J990" s="54" t="str">
        <f t="shared" si="44"/>
        <v>DK1p80A</v>
      </c>
    </row>
    <row r="991" spans="1:10" hidden="1">
      <c r="A991" s="71" t="s">
        <v>287</v>
      </c>
      <c r="B991" s="1658"/>
      <c r="C991" s="71" t="s">
        <v>3438</v>
      </c>
      <c r="D991" s="72" t="s">
        <v>2555</v>
      </c>
      <c r="E991" s="2008" t="str">
        <f t="shared" si="43"/>
        <v>DK</v>
      </c>
      <c r="F991" s="54">
        <v>2000</v>
      </c>
      <c r="G991" s="54" t="s">
        <v>512</v>
      </c>
      <c r="J991" s="54" t="str">
        <f t="shared" si="44"/>
        <v>DK1p5A</v>
      </c>
    </row>
    <row r="992" spans="1:10">
      <c r="A992" s="71" t="s">
        <v>1391</v>
      </c>
      <c r="B992" s="1658"/>
      <c r="C992" s="71" t="s">
        <v>3439</v>
      </c>
      <c r="D992" s="72" t="s">
        <v>2555</v>
      </c>
      <c r="E992" s="2008" t="str">
        <f t="shared" si="43"/>
        <v>DK</v>
      </c>
      <c r="F992" s="54">
        <v>2000</v>
      </c>
      <c r="G992" s="54" t="s">
        <v>512</v>
      </c>
      <c r="J992" s="54" t="str">
        <f t="shared" si="44"/>
        <v>DK3p50(100)A</v>
      </c>
    </row>
    <row r="993" spans="1:10" hidden="1">
      <c r="A993" s="71" t="s">
        <v>288</v>
      </c>
      <c r="B993" s="1658" t="s">
        <v>58</v>
      </c>
      <c r="C993" s="71" t="s">
        <v>3440</v>
      </c>
      <c r="D993" s="72" t="s">
        <v>2555</v>
      </c>
      <c r="E993" s="2008" t="str">
        <f t="shared" si="43"/>
        <v>DK</v>
      </c>
      <c r="F993" s="54">
        <v>2000</v>
      </c>
      <c r="G993" s="54" t="s">
        <v>512</v>
      </c>
      <c r="J993" s="54" t="str">
        <f t="shared" si="44"/>
        <v>DK3p5A</v>
      </c>
    </row>
    <row r="994" spans="1:10" hidden="1">
      <c r="A994" s="71" t="s">
        <v>4508</v>
      </c>
      <c r="B994" s="1658" t="s">
        <v>58</v>
      </c>
      <c r="C994" s="71" t="s">
        <v>4509</v>
      </c>
      <c r="D994" s="72" t="s">
        <v>2555</v>
      </c>
      <c r="E994" s="2008" t="str">
        <f>LEFT(A994,2)</f>
        <v>DK</v>
      </c>
      <c r="F994" s="54">
        <v>2000</v>
      </c>
      <c r="G994" s="54" t="s">
        <v>512</v>
      </c>
      <c r="J994" s="54" t="str">
        <f t="shared" si="44"/>
        <v>DK380-5A</v>
      </c>
    </row>
    <row r="995" spans="1:10" hidden="1">
      <c r="A995" s="71" t="s">
        <v>1837</v>
      </c>
      <c r="B995" s="1658"/>
      <c r="C995" s="71" t="s">
        <v>3441</v>
      </c>
      <c r="D995" s="72" t="s">
        <v>2555</v>
      </c>
      <c r="E995" s="2008" t="str">
        <f t="shared" si="43"/>
        <v>DK</v>
      </c>
      <c r="F995" s="54">
        <v>2000</v>
      </c>
      <c r="G995" s="54" t="s">
        <v>512</v>
      </c>
      <c r="J995" s="54" t="str">
        <f t="shared" si="44"/>
        <v>DK3DT</v>
      </c>
    </row>
    <row r="996" spans="1:10" hidden="1">
      <c r="A996" s="71" t="s">
        <v>943</v>
      </c>
      <c r="B996" s="1658" t="s">
        <v>58</v>
      </c>
      <c r="C996" s="71" t="s">
        <v>3442</v>
      </c>
      <c r="D996" s="72" t="s">
        <v>2555</v>
      </c>
      <c r="E996" s="2008" t="str">
        <f t="shared" si="43"/>
        <v>DK</v>
      </c>
      <c r="F996" s="54">
        <v>2000</v>
      </c>
      <c r="G996" s="54" t="s">
        <v>512</v>
      </c>
      <c r="J996" s="54" t="str">
        <f t="shared" si="44"/>
        <v>DK3P</v>
      </c>
    </row>
    <row r="997" spans="1:10" hidden="1">
      <c r="A997" s="71" t="s">
        <v>289</v>
      </c>
      <c r="B997" s="1658" t="s">
        <v>1758</v>
      </c>
      <c r="C997" s="71" t="s">
        <v>4555</v>
      </c>
      <c r="D997" s="72" t="s">
        <v>2439</v>
      </c>
      <c r="E997" s="2008" t="str">
        <f t="shared" si="43"/>
        <v>BA</v>
      </c>
      <c r="F997" s="54">
        <v>50</v>
      </c>
      <c r="G997" s="54" t="s">
        <v>512</v>
      </c>
      <c r="J997" s="54" t="str">
        <f t="shared" si="44"/>
        <v>BANG</v>
      </c>
    </row>
    <row r="998" spans="1:10" hidden="1">
      <c r="A998" s="71" t="s">
        <v>1585</v>
      </c>
      <c r="B998" s="75"/>
      <c r="C998" s="1647" t="s">
        <v>3443</v>
      </c>
      <c r="D998" s="72" t="s">
        <v>3444</v>
      </c>
      <c r="E998" s="2008" t="str">
        <f t="shared" si="43"/>
        <v>GT</v>
      </c>
      <c r="F998" s="54">
        <v>50</v>
      </c>
      <c r="G998" s="54" t="s">
        <v>512</v>
      </c>
      <c r="J998" s="54" t="str">
        <f t="shared" si="44"/>
        <v>GTD</v>
      </c>
    </row>
    <row r="999" spans="1:10" hidden="1">
      <c r="A999" s="71" t="s">
        <v>3445</v>
      </c>
      <c r="B999" s="75"/>
      <c r="C999" s="1647" t="s">
        <v>3446</v>
      </c>
      <c r="D999" s="72" t="s">
        <v>3444</v>
      </c>
      <c r="E999" s="2008" t="str">
        <f t="shared" ref="E999:E1063" si="45">LEFT(A999,2)</f>
        <v>GT</v>
      </c>
      <c r="F999" s="54">
        <v>50</v>
      </c>
      <c r="G999" s="54" t="s">
        <v>512</v>
      </c>
      <c r="J999" s="54" t="str">
        <f t="shared" si="44"/>
        <v>GTDĐ</v>
      </c>
    </row>
    <row r="1000" spans="1:10" hidden="1">
      <c r="A1000" s="71" t="s">
        <v>1253</v>
      </c>
      <c r="B1000" s="1657" t="s">
        <v>1254</v>
      </c>
      <c r="C1000" s="1647" t="s">
        <v>3447</v>
      </c>
      <c r="D1000" s="72" t="s">
        <v>2555</v>
      </c>
      <c r="E1000" s="2008" t="str">
        <f t="shared" si="45"/>
        <v>SX</v>
      </c>
      <c r="F1000" s="54">
        <v>50</v>
      </c>
      <c r="G1000" s="54" t="s">
        <v>512</v>
      </c>
      <c r="J1000" s="54" t="str">
        <f t="shared" si="44"/>
        <v>SXTg</v>
      </c>
    </row>
    <row r="1001" spans="1:10" hidden="1">
      <c r="A1001" s="71" t="s">
        <v>1726</v>
      </c>
      <c r="B1001" s="75"/>
      <c r="C1001" s="1647" t="s">
        <v>4400</v>
      </c>
      <c r="D1001" s="72" t="s">
        <v>2439</v>
      </c>
      <c r="E1001" s="2008" t="str">
        <f t="shared" si="45"/>
        <v>GS</v>
      </c>
      <c r="F1001" s="54">
        <v>50</v>
      </c>
      <c r="G1001" s="54" t="s">
        <v>512</v>
      </c>
      <c r="J1001" s="54" t="str">
        <f t="shared" si="44"/>
        <v>GSXTg</v>
      </c>
    </row>
    <row r="1002" spans="1:10" hidden="1">
      <c r="A1002" s="71" t="s">
        <v>1629</v>
      </c>
      <c r="B1002" s="75"/>
      <c r="C1002" s="1647" t="s">
        <v>3448</v>
      </c>
      <c r="D1002" s="72" t="s">
        <v>2439</v>
      </c>
      <c r="E1002" s="2008" t="str">
        <f t="shared" si="45"/>
        <v>GC</v>
      </c>
      <c r="F1002" s="54">
        <v>50</v>
      </c>
      <c r="G1002" s="54" t="s">
        <v>512</v>
      </c>
      <c r="J1002" s="54" t="str">
        <f t="shared" si="44"/>
        <v>GCAP</v>
      </c>
    </row>
    <row r="1003" spans="1:10" hidden="1">
      <c r="A1003" s="71" t="s">
        <v>2229</v>
      </c>
      <c r="B1003" s="1658" t="s">
        <v>2230</v>
      </c>
      <c r="C1003" s="1647" t="s">
        <v>3449</v>
      </c>
      <c r="D1003" s="72" t="s">
        <v>2439</v>
      </c>
      <c r="E1003" s="2008" t="str">
        <f t="shared" si="45"/>
        <v>SD</v>
      </c>
      <c r="F1003" s="54">
        <v>50</v>
      </c>
      <c r="G1003" s="54" t="s">
        <v>512</v>
      </c>
      <c r="J1003" s="54" t="str">
        <f t="shared" si="44"/>
        <v>SDTC</v>
      </c>
    </row>
    <row r="1004" spans="1:10" hidden="1">
      <c r="A1004" s="71" t="s">
        <v>1975</v>
      </c>
      <c r="B1004" s="75" t="s">
        <v>1976</v>
      </c>
      <c r="C1004" s="1647" t="s">
        <v>3450</v>
      </c>
      <c r="D1004" s="72" t="s">
        <v>1823</v>
      </c>
      <c r="E1004" s="2008" t="str">
        <f t="shared" si="45"/>
        <v>TC</v>
      </c>
      <c r="F1004" s="54">
        <v>50</v>
      </c>
      <c r="G1004" s="54" t="s">
        <v>512</v>
      </c>
      <c r="J1004" s="54" t="str">
        <f t="shared" si="44"/>
        <v>TC450</v>
      </c>
    </row>
    <row r="1005" spans="1:10" hidden="1">
      <c r="A1005" s="71" t="s">
        <v>123</v>
      </c>
      <c r="B1005" s="75" t="s">
        <v>1976</v>
      </c>
      <c r="C1005" s="1647" t="s">
        <v>3451</v>
      </c>
      <c r="D1005" s="72" t="s">
        <v>1823</v>
      </c>
      <c r="E1005" s="2008" t="str">
        <f t="shared" si="45"/>
        <v>TC</v>
      </c>
      <c r="F1005" s="54">
        <v>50</v>
      </c>
      <c r="G1005" s="54" t="s">
        <v>512</v>
      </c>
      <c r="J1005" s="54" t="str">
        <f t="shared" si="44"/>
        <v>TC430</v>
      </c>
    </row>
    <row r="1006" spans="1:10" hidden="1">
      <c r="A1006" s="71" t="s">
        <v>124</v>
      </c>
      <c r="B1006" s="75" t="s">
        <v>1775</v>
      </c>
      <c r="C1006" s="1647" t="s">
        <v>3452</v>
      </c>
      <c r="D1006" s="72" t="s">
        <v>1823</v>
      </c>
      <c r="E1006" s="2008" t="str">
        <f t="shared" si="45"/>
        <v>TC</v>
      </c>
      <c r="F1006" s="54">
        <v>50</v>
      </c>
      <c r="G1006" s="54" t="s">
        <v>512</v>
      </c>
      <c r="J1006" s="54" t="str">
        <f t="shared" si="44"/>
        <v>TC420</v>
      </c>
    </row>
    <row r="1007" spans="1:10" hidden="1">
      <c r="A1007" s="71" t="s">
        <v>1128</v>
      </c>
      <c r="B1007" s="75"/>
      <c r="C1007" s="1647" t="s">
        <v>3453</v>
      </c>
      <c r="D1007" s="72" t="s">
        <v>2439</v>
      </c>
      <c r="E1007" s="2008" t="str">
        <f t="shared" si="45"/>
        <v>Gi</v>
      </c>
      <c r="F1007" s="54">
        <v>50</v>
      </c>
      <c r="G1007" s="54" t="s">
        <v>512</v>
      </c>
      <c r="J1007" s="54" t="str">
        <f t="shared" si="44"/>
        <v>GiacapTT-2m</v>
      </c>
    </row>
    <row r="1008" spans="1:10" hidden="1">
      <c r="A1008" s="71" t="s">
        <v>1230</v>
      </c>
      <c r="B1008" s="75"/>
      <c r="C1008" s="1647" t="s">
        <v>3453</v>
      </c>
      <c r="D1008" s="72" t="s">
        <v>2439</v>
      </c>
      <c r="E1008" s="2008" t="str">
        <f t="shared" si="45"/>
        <v>Gi</v>
      </c>
      <c r="F1008" s="54">
        <v>50</v>
      </c>
      <c r="G1008" s="54" t="s">
        <v>512</v>
      </c>
      <c r="J1008" s="54" t="str">
        <f t="shared" si="44"/>
        <v>GiacapTT-6m</v>
      </c>
    </row>
    <row r="1009" spans="1:10" hidden="1">
      <c r="A1009" s="71" t="s">
        <v>850</v>
      </c>
      <c r="B1009" s="75"/>
      <c r="C1009" s="1647" t="s">
        <v>3453</v>
      </c>
      <c r="D1009" s="72" t="s">
        <v>2439</v>
      </c>
      <c r="E1009" s="2008" t="str">
        <f t="shared" si="45"/>
        <v>Gi</v>
      </c>
      <c r="F1009" s="54">
        <v>50</v>
      </c>
      <c r="G1009" s="54" t="s">
        <v>512</v>
      </c>
      <c r="J1009" s="54" t="str">
        <f t="shared" si="44"/>
        <v>GiacapTT-8m</v>
      </c>
    </row>
    <row r="1010" spans="1:10" hidden="1">
      <c r="A1010" s="71" t="s">
        <v>560</v>
      </c>
      <c r="B1010" s="75"/>
      <c r="C1010" s="1647" t="s">
        <v>3453</v>
      </c>
      <c r="D1010" s="72" t="s">
        <v>2439</v>
      </c>
      <c r="E1010" s="2008" t="str">
        <f t="shared" si="45"/>
        <v>Gi</v>
      </c>
      <c r="F1010" s="54">
        <v>50</v>
      </c>
      <c r="G1010" s="54" t="s">
        <v>512</v>
      </c>
      <c r="J1010" s="54" t="str">
        <f t="shared" si="44"/>
        <v>GiacapTT-15m</v>
      </c>
    </row>
    <row r="1011" spans="1:10" hidden="1">
      <c r="A1011" s="71" t="s">
        <v>2137</v>
      </c>
      <c r="B1011" s="75"/>
      <c r="C1011" s="1647" t="s">
        <v>3454</v>
      </c>
      <c r="D1011" s="72" t="s">
        <v>2439</v>
      </c>
      <c r="E1011" s="2008" t="str">
        <f t="shared" si="45"/>
        <v>Gi</v>
      </c>
      <c r="F1011" s="54">
        <v>50</v>
      </c>
      <c r="G1011" s="54" t="s">
        <v>512</v>
      </c>
      <c r="J1011" s="54" t="str">
        <f t="shared" si="44"/>
        <v>GiacapTHT-10m</v>
      </c>
    </row>
    <row r="1012" spans="1:10" hidden="1">
      <c r="A1012" s="71" t="s">
        <v>907</v>
      </c>
      <c r="B1012" s="75"/>
      <c r="C1012" s="1647" t="s">
        <v>3455</v>
      </c>
      <c r="D1012" s="72" t="s">
        <v>2439</v>
      </c>
      <c r="E1012" s="2008" t="str">
        <f t="shared" si="45"/>
        <v>Gi</v>
      </c>
      <c r="F1012" s="54">
        <v>50</v>
      </c>
      <c r="G1012" s="54" t="s">
        <v>512</v>
      </c>
      <c r="J1012" s="54" t="str">
        <f t="shared" si="44"/>
        <v>GiacapHT-1m</v>
      </c>
    </row>
    <row r="1013" spans="1:10" hidden="1">
      <c r="A1013" s="71" t="s">
        <v>1451</v>
      </c>
      <c r="B1013" s="1657"/>
      <c r="C1013" s="1647" t="s">
        <v>3455</v>
      </c>
      <c r="D1013" s="72" t="s">
        <v>2439</v>
      </c>
      <c r="E1013" s="2008" t="str">
        <f t="shared" si="45"/>
        <v>Gi</v>
      </c>
      <c r="F1013" s="54">
        <v>50</v>
      </c>
      <c r="G1013" s="54" t="s">
        <v>512</v>
      </c>
      <c r="J1013" s="54" t="str">
        <f t="shared" si="44"/>
        <v>GiacapHT-2m</v>
      </c>
    </row>
    <row r="1014" spans="1:10" hidden="1">
      <c r="A1014" s="71" t="s">
        <v>2232</v>
      </c>
      <c r="B1014" s="1657"/>
      <c r="C1014" s="1647" t="s">
        <v>3455</v>
      </c>
      <c r="D1014" s="72" t="s">
        <v>2439</v>
      </c>
      <c r="E1014" s="2008" t="str">
        <f t="shared" si="45"/>
        <v>Gi</v>
      </c>
      <c r="F1014" s="54">
        <v>50</v>
      </c>
      <c r="G1014" s="54" t="s">
        <v>512</v>
      </c>
      <c r="J1014" s="54" t="str">
        <f t="shared" si="44"/>
        <v>GiacapHT-3m</v>
      </c>
    </row>
    <row r="1015" spans="1:10" hidden="1">
      <c r="A1015" s="71" t="s">
        <v>248</v>
      </c>
      <c r="B1015" s="1657"/>
      <c r="C1015" s="1647" t="s">
        <v>3455</v>
      </c>
      <c r="D1015" s="72" t="s">
        <v>2439</v>
      </c>
      <c r="E1015" s="2008" t="str">
        <f t="shared" si="45"/>
        <v>Gi</v>
      </c>
      <c r="F1015" s="54">
        <v>50</v>
      </c>
      <c r="G1015" s="54" t="s">
        <v>512</v>
      </c>
      <c r="J1015" s="54" t="str">
        <f t="shared" si="44"/>
        <v>GiacapHT-4m</v>
      </c>
    </row>
    <row r="1016" spans="1:10" hidden="1">
      <c r="A1016" s="71" t="s">
        <v>1818</v>
      </c>
      <c r="B1016" s="1657"/>
      <c r="C1016" s="1647" t="s">
        <v>3455</v>
      </c>
      <c r="D1016" s="72" t="s">
        <v>2703</v>
      </c>
      <c r="E1016" s="2008" t="str">
        <f t="shared" si="45"/>
        <v>Gi</v>
      </c>
      <c r="F1016" s="54">
        <v>50</v>
      </c>
      <c r="G1016" s="54" t="s">
        <v>512</v>
      </c>
      <c r="J1016" s="54" t="str">
        <f t="shared" si="44"/>
        <v>GiacapHT</v>
      </c>
    </row>
    <row r="1017" spans="1:10" hidden="1">
      <c r="A1017" s="71" t="s">
        <v>164</v>
      </c>
      <c r="B1017" s="1657"/>
      <c r="C1017" s="1647" t="s">
        <v>3455</v>
      </c>
      <c r="D1017" s="72" t="s">
        <v>2439</v>
      </c>
      <c r="E1017" s="2008" t="str">
        <f t="shared" si="45"/>
        <v>Gi</v>
      </c>
      <c r="F1017" s="54">
        <v>50</v>
      </c>
      <c r="G1017" s="54" t="s">
        <v>512</v>
      </c>
      <c r="J1017" s="54" t="str">
        <f t="shared" si="44"/>
        <v>GiacapHT-30m</v>
      </c>
    </row>
    <row r="1018" spans="1:10" hidden="1">
      <c r="A1018" s="71" t="s">
        <v>1586</v>
      </c>
      <c r="B1018" s="1638" t="s">
        <v>277</v>
      </c>
      <c r="C1018" s="1647" t="s">
        <v>4401</v>
      </c>
      <c r="D1018" s="72" t="s">
        <v>3456</v>
      </c>
      <c r="E1018" s="2008" t="str">
        <f t="shared" si="45"/>
        <v>GT</v>
      </c>
      <c r="F1018" s="54">
        <v>50</v>
      </c>
      <c r="G1018" s="54" t="s">
        <v>512</v>
      </c>
      <c r="J1018" s="54" t="str">
        <f t="shared" si="44"/>
        <v>GTMBA15</v>
      </c>
    </row>
    <row r="1019" spans="1:10" hidden="1">
      <c r="A1019" s="71" t="s">
        <v>1000</v>
      </c>
      <c r="B1019" s="1638" t="s">
        <v>277</v>
      </c>
      <c r="C1019" s="1647" t="s">
        <v>4402</v>
      </c>
      <c r="D1019" s="72" t="s">
        <v>2555</v>
      </c>
      <c r="E1019" s="2008" t="str">
        <f t="shared" si="45"/>
        <v>GT</v>
      </c>
      <c r="F1019" s="54">
        <v>50</v>
      </c>
      <c r="G1019" s="54" t="s">
        <v>512</v>
      </c>
      <c r="J1019" s="54" t="str">
        <f t="shared" si="44"/>
        <v>GTMBA25</v>
      </c>
    </row>
    <row r="1020" spans="1:10" hidden="1">
      <c r="A1020" s="71" t="s">
        <v>1587</v>
      </c>
      <c r="B1020" s="1638" t="s">
        <v>277</v>
      </c>
      <c r="C1020" s="1647" t="s">
        <v>4403</v>
      </c>
      <c r="D1020" s="72" t="s">
        <v>2555</v>
      </c>
      <c r="E1020" s="2008" t="str">
        <f t="shared" si="45"/>
        <v>GT</v>
      </c>
      <c r="F1020" s="54">
        <v>50</v>
      </c>
      <c r="G1020" s="54" t="s">
        <v>512</v>
      </c>
      <c r="J1020" s="54" t="str">
        <f t="shared" si="44"/>
        <v>GTMBA37,5</v>
      </c>
    </row>
    <row r="1021" spans="1:10" hidden="1">
      <c r="A1021" s="71" t="s">
        <v>4986</v>
      </c>
      <c r="B1021" s="1638" t="s">
        <v>277</v>
      </c>
      <c r="C1021" s="1647" t="s">
        <v>4404</v>
      </c>
      <c r="D1021" s="72" t="s">
        <v>2555</v>
      </c>
      <c r="E1021" s="2008" t="str">
        <f>LEFT(A1021,2)</f>
        <v>GT</v>
      </c>
      <c r="F1021" s="54">
        <v>50</v>
      </c>
      <c r="G1021" s="54" t="s">
        <v>512</v>
      </c>
      <c r="J1021" s="54" t="str">
        <f t="shared" si="44"/>
        <v>GTMBA50</v>
      </c>
    </row>
    <row r="1022" spans="1:10" hidden="1">
      <c r="A1022" s="71" t="s">
        <v>4761</v>
      </c>
      <c r="B1022" s="1638" t="s">
        <v>277</v>
      </c>
      <c r="C1022" s="1647" t="s">
        <v>4762</v>
      </c>
      <c r="D1022" s="72" t="s">
        <v>2442</v>
      </c>
      <c r="E1022" s="2008" t="str">
        <f t="shared" si="45"/>
        <v>La</v>
      </c>
      <c r="F1022" s="54">
        <v>2000</v>
      </c>
      <c r="G1022" s="54" t="s">
        <v>512</v>
      </c>
      <c r="J1022" s="54" t="str">
        <f t="shared" si="44"/>
        <v>LapGTMBA</v>
      </c>
    </row>
    <row r="1023" spans="1:10" hidden="1">
      <c r="A1023" s="71" t="s">
        <v>1173</v>
      </c>
      <c r="B1023" s="75" t="s">
        <v>1295</v>
      </c>
      <c r="C1023" s="71" t="s">
        <v>3457</v>
      </c>
      <c r="D1023" s="72" t="s">
        <v>2555</v>
      </c>
      <c r="E1023" s="2008" t="str">
        <f t="shared" si="45"/>
        <v>CO</v>
      </c>
      <c r="F1023" s="54">
        <v>50</v>
      </c>
      <c r="G1023" s="54" t="s">
        <v>512</v>
      </c>
      <c r="J1023" s="54" t="str">
        <f t="shared" si="44"/>
        <v>COSe16</v>
      </c>
    </row>
    <row r="1024" spans="1:10" hidden="1">
      <c r="A1024" s="71" t="s">
        <v>548</v>
      </c>
      <c r="B1024" s="75" t="s">
        <v>1295</v>
      </c>
      <c r="C1024" s="71" t="s">
        <v>3458</v>
      </c>
      <c r="D1024" s="72" t="s">
        <v>2555</v>
      </c>
      <c r="E1024" s="2008" t="str">
        <f t="shared" si="45"/>
        <v>CO</v>
      </c>
      <c r="F1024" s="54">
        <v>50</v>
      </c>
      <c r="G1024" s="54" t="s">
        <v>512</v>
      </c>
      <c r="J1024" s="54" t="str">
        <f t="shared" si="44"/>
        <v>COSe25</v>
      </c>
    </row>
    <row r="1025" spans="1:10" hidden="1">
      <c r="A1025" s="71" t="s">
        <v>1298</v>
      </c>
      <c r="B1025" s="75" t="s">
        <v>1297</v>
      </c>
      <c r="C1025" s="71" t="s">
        <v>3459</v>
      </c>
      <c r="D1025" s="72" t="s">
        <v>2555</v>
      </c>
      <c r="E1025" s="2008" t="str">
        <f t="shared" si="45"/>
        <v>CO</v>
      </c>
      <c r="F1025" s="54">
        <v>50</v>
      </c>
      <c r="G1025" s="54" t="s">
        <v>512</v>
      </c>
      <c r="J1025" s="54" t="str">
        <f t="shared" si="44"/>
        <v>COSe50</v>
      </c>
    </row>
    <row r="1026" spans="1:10" hidden="1">
      <c r="A1026" s="71" t="s">
        <v>1988</v>
      </c>
      <c r="B1026" s="75" t="s">
        <v>1299</v>
      </c>
      <c r="C1026" s="71" t="s">
        <v>3460</v>
      </c>
      <c r="D1026" s="72" t="s">
        <v>2555</v>
      </c>
      <c r="E1026" s="2008" t="str">
        <f t="shared" si="45"/>
        <v>CO</v>
      </c>
      <c r="F1026" s="54">
        <v>50</v>
      </c>
      <c r="G1026" s="54" t="s">
        <v>512</v>
      </c>
      <c r="J1026" s="54" t="str">
        <f t="shared" si="44"/>
        <v>COSe70</v>
      </c>
    </row>
    <row r="1027" spans="1:10" hidden="1">
      <c r="A1027" s="71" t="s">
        <v>1300</v>
      </c>
      <c r="B1027" s="75" t="s">
        <v>1301</v>
      </c>
      <c r="C1027" s="71" t="s">
        <v>3461</v>
      </c>
      <c r="D1027" s="72" t="s">
        <v>2555</v>
      </c>
      <c r="E1027" s="2008" t="str">
        <f t="shared" si="45"/>
        <v>CO</v>
      </c>
      <c r="F1027" s="54">
        <v>50</v>
      </c>
      <c r="G1027" s="54" t="s">
        <v>512</v>
      </c>
      <c r="J1027" s="54" t="str">
        <f t="shared" si="44"/>
        <v>COSe95</v>
      </c>
    </row>
    <row r="1028" spans="1:10" hidden="1">
      <c r="A1028" s="71" t="s">
        <v>2143</v>
      </c>
      <c r="B1028" s="75" t="s">
        <v>1885</v>
      </c>
      <c r="C1028" s="71" t="s">
        <v>3462</v>
      </c>
      <c r="D1028" s="72" t="s">
        <v>2555</v>
      </c>
      <c r="E1028" s="2008" t="str">
        <f t="shared" si="45"/>
        <v>CO</v>
      </c>
      <c r="F1028" s="54">
        <v>50</v>
      </c>
      <c r="G1028" s="54" t="s">
        <v>512</v>
      </c>
      <c r="J1028" s="54" t="str">
        <f t="shared" si="44"/>
        <v>COSe120</v>
      </c>
    </row>
    <row r="1029" spans="1:10" hidden="1">
      <c r="A1029" s="71" t="s">
        <v>2144</v>
      </c>
      <c r="B1029" s="75" t="s">
        <v>1356</v>
      </c>
      <c r="C1029" s="71" t="s">
        <v>3463</v>
      </c>
      <c r="D1029" s="72" t="s">
        <v>2555</v>
      </c>
      <c r="E1029" s="2008" t="str">
        <f t="shared" si="45"/>
        <v>CO</v>
      </c>
      <c r="F1029" s="54">
        <v>50</v>
      </c>
      <c r="G1029" s="54" t="s">
        <v>512</v>
      </c>
      <c r="J1029" s="54" t="str">
        <f t="shared" si="44"/>
        <v>COSe150</v>
      </c>
    </row>
    <row r="1030" spans="1:10" hidden="1">
      <c r="A1030" s="71" t="s">
        <v>2145</v>
      </c>
      <c r="B1030" s="75" t="s">
        <v>1886</v>
      </c>
      <c r="C1030" s="71" t="s">
        <v>3464</v>
      </c>
      <c r="D1030" s="72" t="s">
        <v>2555</v>
      </c>
      <c r="E1030" s="2008" t="str">
        <f t="shared" si="45"/>
        <v>CO</v>
      </c>
      <c r="F1030" s="54">
        <v>50</v>
      </c>
      <c r="G1030" s="54" t="s">
        <v>512</v>
      </c>
      <c r="J1030" s="54" t="str">
        <f t="shared" si="44"/>
        <v>COSe185</v>
      </c>
    </row>
    <row r="1031" spans="1:10" hidden="1">
      <c r="A1031" s="71" t="s">
        <v>609</v>
      </c>
      <c r="B1031" s="75" t="s">
        <v>2157</v>
      </c>
      <c r="C1031" s="71" t="s">
        <v>3465</v>
      </c>
      <c r="D1031" s="72" t="s">
        <v>2555</v>
      </c>
      <c r="E1031" s="2008" t="str">
        <f t="shared" si="45"/>
        <v>CO</v>
      </c>
      <c r="F1031" s="54">
        <v>50</v>
      </c>
      <c r="G1031" s="54" t="s">
        <v>512</v>
      </c>
      <c r="J1031" s="54" t="str">
        <f t="shared" si="44"/>
        <v>COSe200</v>
      </c>
    </row>
    <row r="1032" spans="1:10" hidden="1">
      <c r="A1032" s="71" t="s">
        <v>1842</v>
      </c>
      <c r="B1032" s="75" t="s">
        <v>2157</v>
      </c>
      <c r="C1032" s="71" t="s">
        <v>3466</v>
      </c>
      <c r="D1032" s="72" t="s">
        <v>2555</v>
      </c>
      <c r="E1032" s="2008" t="str">
        <f t="shared" si="45"/>
        <v>CO</v>
      </c>
      <c r="F1032" s="54">
        <v>50</v>
      </c>
      <c r="G1032" s="54" t="s">
        <v>512</v>
      </c>
      <c r="J1032" s="54" t="str">
        <f t="shared" si="44"/>
        <v>COSe240</v>
      </c>
    </row>
    <row r="1033" spans="1:10" hidden="1">
      <c r="A1033" s="71" t="s">
        <v>782</v>
      </c>
      <c r="B1033" s="75" t="s">
        <v>2157</v>
      </c>
      <c r="C1033" s="71" t="s">
        <v>3467</v>
      </c>
      <c r="D1033" s="72" t="s">
        <v>2555</v>
      </c>
      <c r="E1033" s="2008" t="str">
        <f t="shared" si="45"/>
        <v>CO</v>
      </c>
      <c r="F1033" s="54">
        <v>50</v>
      </c>
      <c r="G1033" s="54" t="s">
        <v>512</v>
      </c>
      <c r="J1033" s="54" t="str">
        <f t="shared" si="44"/>
        <v>COSe250</v>
      </c>
    </row>
    <row r="1034" spans="1:10" hidden="1">
      <c r="A1034" s="71" t="s">
        <v>250</v>
      </c>
      <c r="B1034" s="75" t="s">
        <v>2157</v>
      </c>
      <c r="C1034" s="71" t="s">
        <v>3468</v>
      </c>
      <c r="D1034" s="72" t="s">
        <v>2555</v>
      </c>
      <c r="E1034" s="2008" t="str">
        <f t="shared" si="45"/>
        <v>CO</v>
      </c>
      <c r="F1034" s="54">
        <v>50</v>
      </c>
      <c r="G1034" s="54" t="s">
        <v>512</v>
      </c>
      <c r="J1034" s="54" t="str">
        <f t="shared" si="44"/>
        <v>COSe300</v>
      </c>
    </row>
    <row r="1035" spans="1:10" hidden="1">
      <c r="A1035" s="71" t="s">
        <v>4409</v>
      </c>
      <c r="B1035" s="75" t="s">
        <v>2157</v>
      </c>
      <c r="C1035" s="71" t="s">
        <v>3469</v>
      </c>
      <c r="D1035" s="72" t="s">
        <v>2555</v>
      </c>
      <c r="E1035" s="2008" t="str">
        <f t="shared" si="45"/>
        <v>CO</v>
      </c>
      <c r="F1035" s="54">
        <v>50</v>
      </c>
      <c r="G1035" s="54" t="s">
        <v>512</v>
      </c>
      <c r="J1035" s="54" t="str">
        <f t="shared" si="44"/>
        <v>COSe400</v>
      </c>
    </row>
    <row r="1036" spans="1:10" hidden="1">
      <c r="A1036" s="71" t="s">
        <v>1865</v>
      </c>
      <c r="B1036" s="75" t="s">
        <v>1295</v>
      </c>
      <c r="C1036" s="1659" t="s">
        <v>3470</v>
      </c>
      <c r="D1036" s="72" t="s">
        <v>2555</v>
      </c>
      <c r="E1036" s="2008" t="str">
        <f t="shared" si="45"/>
        <v>CO</v>
      </c>
      <c r="F1036" s="54">
        <v>50</v>
      </c>
      <c r="G1036" s="54" t="s">
        <v>512</v>
      </c>
      <c r="J1036" s="54" t="str">
        <f t="shared" si="44"/>
        <v>COS2,5</v>
      </c>
    </row>
    <row r="1037" spans="1:10" hidden="1">
      <c r="A1037" s="71" t="s">
        <v>2140</v>
      </c>
      <c r="B1037" s="75" t="s">
        <v>1295</v>
      </c>
      <c r="C1037" s="71" t="s">
        <v>3471</v>
      </c>
      <c r="D1037" s="72" t="s">
        <v>2555</v>
      </c>
      <c r="E1037" s="2008" t="str">
        <f t="shared" si="45"/>
        <v>CO</v>
      </c>
      <c r="F1037" s="54">
        <v>50</v>
      </c>
      <c r="G1037" s="54" t="s">
        <v>512</v>
      </c>
      <c r="J1037" s="54" t="str">
        <f t="shared" si="44"/>
        <v>COS5</v>
      </c>
    </row>
    <row r="1038" spans="1:10" hidden="1">
      <c r="A1038" s="71" t="s">
        <v>1843</v>
      </c>
      <c r="B1038" s="75" t="s">
        <v>1295</v>
      </c>
      <c r="C1038" s="71" t="s">
        <v>3472</v>
      </c>
      <c r="D1038" s="72" t="s">
        <v>2555</v>
      </c>
      <c r="E1038" s="2008" t="str">
        <f t="shared" si="45"/>
        <v>CO</v>
      </c>
      <c r="F1038" s="54">
        <v>50</v>
      </c>
      <c r="G1038" s="54" t="s">
        <v>512</v>
      </c>
      <c r="J1038" s="54" t="str">
        <f t="shared" si="44"/>
        <v>COS11</v>
      </c>
    </row>
    <row r="1039" spans="1:10" hidden="1">
      <c r="A1039" s="71" t="s">
        <v>537</v>
      </c>
      <c r="B1039" s="75" t="s">
        <v>1295</v>
      </c>
      <c r="C1039" s="71" t="s">
        <v>3473</v>
      </c>
      <c r="D1039" s="72" t="s">
        <v>2555</v>
      </c>
      <c r="E1039" s="2008" t="str">
        <f t="shared" si="45"/>
        <v>CO</v>
      </c>
      <c r="F1039" s="54">
        <v>50</v>
      </c>
      <c r="G1039" s="54" t="s">
        <v>512</v>
      </c>
      <c r="J1039" s="54" t="str">
        <f t="shared" ref="J1039:J1103" si="46">A1039</f>
        <v>COS16</v>
      </c>
    </row>
    <row r="1040" spans="1:10" hidden="1">
      <c r="A1040" s="71" t="s">
        <v>683</v>
      </c>
      <c r="B1040" s="75" t="s">
        <v>1295</v>
      </c>
      <c r="C1040" s="71" t="s">
        <v>3474</v>
      </c>
      <c r="D1040" s="72" t="s">
        <v>2555</v>
      </c>
      <c r="E1040" s="2008" t="str">
        <f t="shared" si="45"/>
        <v>CO</v>
      </c>
      <c r="F1040" s="54">
        <v>50</v>
      </c>
      <c r="G1040" s="54" t="s">
        <v>512</v>
      </c>
      <c r="J1040" s="54" t="str">
        <f t="shared" si="46"/>
        <v>COS22</v>
      </c>
    </row>
    <row r="1041" spans="1:10" hidden="1">
      <c r="A1041" s="71" t="s">
        <v>104</v>
      </c>
      <c r="B1041" s="75" t="s">
        <v>1295</v>
      </c>
      <c r="C1041" s="71" t="s">
        <v>3475</v>
      </c>
      <c r="D1041" s="72" t="s">
        <v>2555</v>
      </c>
      <c r="E1041" s="2008" t="str">
        <f t="shared" si="45"/>
        <v>CO</v>
      </c>
      <c r="F1041" s="54">
        <v>50</v>
      </c>
      <c r="G1041" s="54" t="s">
        <v>512</v>
      </c>
      <c r="J1041" s="54" t="str">
        <f t="shared" si="46"/>
        <v>COS25</v>
      </c>
    </row>
    <row r="1042" spans="1:10" hidden="1">
      <c r="A1042" s="71" t="s">
        <v>1534</v>
      </c>
      <c r="B1042" s="75" t="s">
        <v>1297</v>
      </c>
      <c r="C1042" s="71" t="s">
        <v>3476</v>
      </c>
      <c r="D1042" s="72" t="s">
        <v>2555</v>
      </c>
      <c r="E1042" s="2008" t="str">
        <f t="shared" si="45"/>
        <v>CO</v>
      </c>
      <c r="F1042" s="54">
        <v>50</v>
      </c>
      <c r="G1042" s="54" t="s">
        <v>512</v>
      </c>
      <c r="J1042" s="54" t="str">
        <f t="shared" si="46"/>
        <v>COS35</v>
      </c>
    </row>
    <row r="1043" spans="1:10" hidden="1">
      <c r="A1043" s="71" t="s">
        <v>1296</v>
      </c>
      <c r="B1043" s="75" t="s">
        <v>1297</v>
      </c>
      <c r="C1043" s="71" t="s">
        <v>3477</v>
      </c>
      <c r="D1043" s="72" t="s">
        <v>2555</v>
      </c>
      <c r="E1043" s="2008" t="str">
        <f t="shared" si="45"/>
        <v>CO</v>
      </c>
      <c r="F1043" s="54">
        <v>50</v>
      </c>
      <c r="G1043" s="54" t="s">
        <v>512</v>
      </c>
      <c r="J1043" s="54" t="str">
        <f t="shared" si="46"/>
        <v>COS38</v>
      </c>
    </row>
    <row r="1044" spans="1:10" hidden="1">
      <c r="A1044" s="71" t="s">
        <v>1302</v>
      </c>
      <c r="B1044" s="75" t="s">
        <v>1297</v>
      </c>
      <c r="C1044" s="71" t="s">
        <v>3478</v>
      </c>
      <c r="D1044" s="72" t="s">
        <v>2555</v>
      </c>
      <c r="E1044" s="2008" t="str">
        <f t="shared" si="45"/>
        <v>CO</v>
      </c>
      <c r="F1044" s="54">
        <v>50</v>
      </c>
      <c r="G1044" s="54" t="s">
        <v>512</v>
      </c>
      <c r="J1044" s="54" t="str">
        <f t="shared" si="46"/>
        <v>COS50</v>
      </c>
    </row>
    <row r="1045" spans="1:10" hidden="1">
      <c r="A1045" s="71" t="s">
        <v>1303</v>
      </c>
      <c r="B1045" s="75" t="s">
        <v>1299</v>
      </c>
      <c r="C1045" s="71" t="s">
        <v>3479</v>
      </c>
      <c r="D1045" s="72" t="s">
        <v>2555</v>
      </c>
      <c r="E1045" s="2008" t="str">
        <f t="shared" si="45"/>
        <v>CO</v>
      </c>
      <c r="F1045" s="54">
        <v>50</v>
      </c>
      <c r="G1045" s="54" t="s">
        <v>512</v>
      </c>
      <c r="J1045" s="54" t="str">
        <f t="shared" si="46"/>
        <v>COS70</v>
      </c>
    </row>
    <row r="1046" spans="1:10" hidden="1">
      <c r="A1046" s="71" t="s">
        <v>1304</v>
      </c>
      <c r="B1046" s="75" t="s">
        <v>1301</v>
      </c>
      <c r="C1046" s="71" t="s">
        <v>3480</v>
      </c>
      <c r="D1046" s="72" t="s">
        <v>2555</v>
      </c>
      <c r="E1046" s="2008" t="str">
        <f t="shared" si="45"/>
        <v>CO</v>
      </c>
      <c r="F1046" s="54">
        <v>50</v>
      </c>
      <c r="G1046" s="54" t="s">
        <v>512</v>
      </c>
      <c r="J1046" s="54" t="str">
        <f t="shared" si="46"/>
        <v>COS95</v>
      </c>
    </row>
    <row r="1047" spans="1:10" hidden="1">
      <c r="A1047" s="71" t="s">
        <v>1305</v>
      </c>
      <c r="B1047" s="75" t="s">
        <v>1885</v>
      </c>
      <c r="C1047" s="71" t="s">
        <v>3481</v>
      </c>
      <c r="D1047" s="72" t="s">
        <v>2555</v>
      </c>
      <c r="E1047" s="2008" t="str">
        <f t="shared" si="45"/>
        <v>CO</v>
      </c>
      <c r="F1047" s="54">
        <v>50</v>
      </c>
      <c r="G1047" s="54" t="s">
        <v>512</v>
      </c>
      <c r="J1047" s="54" t="str">
        <f t="shared" si="46"/>
        <v>COS120</v>
      </c>
    </row>
    <row r="1048" spans="1:10" hidden="1">
      <c r="A1048" s="71" t="s">
        <v>2155</v>
      </c>
      <c r="B1048" s="75" t="s">
        <v>1356</v>
      </c>
      <c r="C1048" s="71" t="s">
        <v>3482</v>
      </c>
      <c r="D1048" s="72" t="s">
        <v>2555</v>
      </c>
      <c r="E1048" s="2008" t="str">
        <f t="shared" si="45"/>
        <v>CO</v>
      </c>
      <c r="F1048" s="54">
        <v>50</v>
      </c>
      <c r="G1048" s="54" t="s">
        <v>512</v>
      </c>
      <c r="J1048" s="54" t="str">
        <f t="shared" si="46"/>
        <v>COS150</v>
      </c>
    </row>
    <row r="1049" spans="1:10" hidden="1">
      <c r="A1049" s="71" t="s">
        <v>151</v>
      </c>
      <c r="B1049" s="75" t="s">
        <v>1886</v>
      </c>
      <c r="C1049" s="71" t="s">
        <v>3483</v>
      </c>
      <c r="D1049" s="72" t="s">
        <v>2555</v>
      </c>
      <c r="E1049" s="2008" t="str">
        <f t="shared" si="45"/>
        <v>CO</v>
      </c>
      <c r="F1049" s="54">
        <v>50</v>
      </c>
      <c r="G1049" s="54" t="s">
        <v>512</v>
      </c>
      <c r="J1049" s="54" t="str">
        <f t="shared" si="46"/>
        <v>COS185</v>
      </c>
    </row>
    <row r="1050" spans="1:10" hidden="1">
      <c r="A1050" s="71" t="s">
        <v>447</v>
      </c>
      <c r="B1050" s="75" t="s">
        <v>2157</v>
      </c>
      <c r="C1050" s="71" t="s">
        <v>3484</v>
      </c>
      <c r="D1050" s="72" t="s">
        <v>2555</v>
      </c>
      <c r="E1050" s="2008" t="str">
        <f t="shared" si="45"/>
        <v>CO</v>
      </c>
      <c r="F1050" s="54">
        <v>50</v>
      </c>
      <c r="G1050" s="54" t="s">
        <v>512</v>
      </c>
      <c r="J1050" s="54" t="str">
        <f t="shared" si="46"/>
        <v>COS200</v>
      </c>
    </row>
    <row r="1051" spans="1:10" hidden="1">
      <c r="A1051" s="71" t="s">
        <v>2156</v>
      </c>
      <c r="B1051" s="75" t="s">
        <v>2157</v>
      </c>
      <c r="C1051" s="71" t="s">
        <v>3485</v>
      </c>
      <c r="D1051" s="72" t="s">
        <v>2555</v>
      </c>
      <c r="E1051" s="2008" t="str">
        <f t="shared" si="45"/>
        <v>CO</v>
      </c>
      <c r="F1051" s="54">
        <v>50</v>
      </c>
      <c r="G1051" s="54" t="s">
        <v>512</v>
      </c>
      <c r="J1051" s="54" t="str">
        <f t="shared" si="46"/>
        <v>COS240</v>
      </c>
    </row>
    <row r="1052" spans="1:10" hidden="1">
      <c r="A1052" s="71" t="s">
        <v>448</v>
      </c>
      <c r="B1052" s="75" t="s">
        <v>1774</v>
      </c>
      <c r="C1052" s="71" t="s">
        <v>3486</v>
      </c>
      <c r="D1052" s="72" t="s">
        <v>2555</v>
      </c>
      <c r="E1052" s="2008" t="str">
        <f t="shared" si="45"/>
        <v>CO</v>
      </c>
      <c r="F1052" s="54">
        <v>50</v>
      </c>
      <c r="G1052" s="54" t="s">
        <v>512</v>
      </c>
      <c r="J1052" s="54" t="str">
        <f t="shared" si="46"/>
        <v>COS250</v>
      </c>
    </row>
    <row r="1053" spans="1:10" hidden="1">
      <c r="A1053" s="71" t="s">
        <v>449</v>
      </c>
      <c r="B1053" s="75" t="s">
        <v>1774</v>
      </c>
      <c r="C1053" s="71" t="s">
        <v>3487</v>
      </c>
      <c r="D1053" s="72" t="s">
        <v>2555</v>
      </c>
      <c r="E1053" s="2008" t="str">
        <f t="shared" si="45"/>
        <v>CO</v>
      </c>
      <c r="F1053" s="54">
        <v>50</v>
      </c>
      <c r="G1053" s="54" t="s">
        <v>512</v>
      </c>
      <c r="J1053" s="54" t="str">
        <f t="shared" si="46"/>
        <v>COS300</v>
      </c>
    </row>
    <row r="1054" spans="1:10" hidden="1">
      <c r="A1054" s="71" t="s">
        <v>1231</v>
      </c>
      <c r="B1054" s="75"/>
      <c r="C1054" s="1660" t="s">
        <v>3488</v>
      </c>
      <c r="D1054" s="72" t="s">
        <v>2555</v>
      </c>
      <c r="E1054" s="2008" t="str">
        <f t="shared" si="45"/>
        <v>CH</v>
      </c>
      <c r="F1054" s="54">
        <v>50</v>
      </c>
      <c r="G1054" s="54" t="s">
        <v>512</v>
      </c>
      <c r="J1054" s="54" t="str">
        <f t="shared" si="46"/>
        <v>CHCOS11</v>
      </c>
    </row>
    <row r="1055" spans="1:10" hidden="1">
      <c r="A1055" s="71" t="s">
        <v>74</v>
      </c>
      <c r="B1055" s="75"/>
      <c r="C1055" s="1660" t="s">
        <v>3489</v>
      </c>
      <c r="D1055" s="72" t="s">
        <v>2555</v>
      </c>
      <c r="E1055" s="2008" t="str">
        <f t="shared" si="45"/>
        <v>CH</v>
      </c>
      <c r="F1055" s="54">
        <v>50</v>
      </c>
      <c r="G1055" s="54" t="s">
        <v>512</v>
      </c>
      <c r="J1055" s="54" t="str">
        <f t="shared" si="46"/>
        <v>CHCOS16</v>
      </c>
    </row>
    <row r="1056" spans="1:10" hidden="1">
      <c r="A1056" s="71" t="s">
        <v>1916</v>
      </c>
      <c r="B1056" s="75"/>
      <c r="C1056" s="1660" t="s">
        <v>3490</v>
      </c>
      <c r="D1056" s="72" t="s">
        <v>2555</v>
      </c>
      <c r="E1056" s="2008" t="str">
        <f t="shared" si="45"/>
        <v>CH</v>
      </c>
      <c r="F1056" s="54">
        <v>50</v>
      </c>
      <c r="G1056" s="54" t="s">
        <v>512</v>
      </c>
      <c r="J1056" s="54" t="str">
        <f t="shared" si="46"/>
        <v>CHCOS25</v>
      </c>
    </row>
    <row r="1057" spans="1:10" hidden="1">
      <c r="A1057" s="71" t="s">
        <v>418</v>
      </c>
      <c r="B1057" s="75"/>
      <c r="C1057" s="1660" t="s">
        <v>3491</v>
      </c>
      <c r="D1057" s="72" t="s">
        <v>2555</v>
      </c>
      <c r="E1057" s="2008" t="str">
        <f t="shared" si="45"/>
        <v>CH</v>
      </c>
      <c r="F1057" s="54">
        <v>50</v>
      </c>
      <c r="G1057" s="54" t="s">
        <v>512</v>
      </c>
      <c r="J1057" s="54" t="str">
        <f t="shared" si="46"/>
        <v>CHCOS35</v>
      </c>
    </row>
    <row r="1058" spans="1:10" hidden="1">
      <c r="A1058" s="71" t="s">
        <v>2151</v>
      </c>
      <c r="B1058" s="75"/>
      <c r="C1058" s="1660" t="s">
        <v>3492</v>
      </c>
      <c r="D1058" s="72" t="s">
        <v>2555</v>
      </c>
      <c r="E1058" s="2008" t="str">
        <f t="shared" si="45"/>
        <v>CH</v>
      </c>
      <c r="F1058" s="54">
        <v>50</v>
      </c>
      <c r="G1058" s="54" t="s">
        <v>512</v>
      </c>
      <c r="J1058" s="54" t="str">
        <f t="shared" si="46"/>
        <v>CHCOS50</v>
      </c>
    </row>
    <row r="1059" spans="1:10" hidden="1">
      <c r="A1059" s="71" t="s">
        <v>611</v>
      </c>
      <c r="B1059" s="75"/>
      <c r="C1059" s="1660" t="s">
        <v>3493</v>
      </c>
      <c r="D1059" s="72" t="s">
        <v>2555</v>
      </c>
      <c r="E1059" s="2008" t="str">
        <f t="shared" si="45"/>
        <v>CH</v>
      </c>
      <c r="F1059" s="54">
        <v>50</v>
      </c>
      <c r="G1059" s="54" t="s">
        <v>512</v>
      </c>
      <c r="J1059" s="54" t="str">
        <f t="shared" si="46"/>
        <v>CHCOS70</v>
      </c>
    </row>
    <row r="1060" spans="1:10" hidden="1">
      <c r="A1060" s="71" t="s">
        <v>94</v>
      </c>
      <c r="B1060" s="75"/>
      <c r="C1060" s="1660" t="s">
        <v>3494</v>
      </c>
      <c r="D1060" s="72" t="s">
        <v>2555</v>
      </c>
      <c r="E1060" s="2008" t="str">
        <f t="shared" si="45"/>
        <v>CH</v>
      </c>
      <c r="F1060" s="54">
        <v>50</v>
      </c>
      <c r="G1060" s="54" t="s">
        <v>512</v>
      </c>
      <c r="J1060" s="54" t="str">
        <f t="shared" si="46"/>
        <v>CHCOS95</v>
      </c>
    </row>
    <row r="1061" spans="1:10" hidden="1">
      <c r="A1061" s="71" t="s">
        <v>93</v>
      </c>
      <c r="B1061" s="75"/>
      <c r="C1061" s="1660" t="s">
        <v>3495</v>
      </c>
      <c r="D1061" s="72" t="s">
        <v>2555</v>
      </c>
      <c r="E1061" s="2008" t="str">
        <f t="shared" si="45"/>
        <v>CH</v>
      </c>
      <c r="F1061" s="54">
        <v>50</v>
      </c>
      <c r="G1061" s="54" t="s">
        <v>512</v>
      </c>
      <c r="J1061" s="54" t="str">
        <f t="shared" si="46"/>
        <v>CHCOS120</v>
      </c>
    </row>
    <row r="1062" spans="1:10" hidden="1">
      <c r="A1062" s="71" t="s">
        <v>91</v>
      </c>
      <c r="B1062" s="75"/>
      <c r="C1062" s="1660" t="s">
        <v>3496</v>
      </c>
      <c r="D1062" s="72" t="s">
        <v>2555</v>
      </c>
      <c r="E1062" s="2008" t="str">
        <f t="shared" si="45"/>
        <v>CH</v>
      </c>
      <c r="F1062" s="54">
        <v>50</v>
      </c>
      <c r="G1062" s="54" t="s">
        <v>512</v>
      </c>
      <c r="J1062" s="54" t="str">
        <f t="shared" si="46"/>
        <v>CHCOS150</v>
      </c>
    </row>
    <row r="1063" spans="1:10" hidden="1">
      <c r="A1063" s="71" t="s">
        <v>150</v>
      </c>
      <c r="B1063" s="75"/>
      <c r="C1063" s="1660" t="s">
        <v>3497</v>
      </c>
      <c r="D1063" s="72" t="s">
        <v>2555</v>
      </c>
      <c r="E1063" s="2008" t="str">
        <f t="shared" si="45"/>
        <v>CH</v>
      </c>
      <c r="F1063" s="54">
        <v>50</v>
      </c>
      <c r="G1063" s="54" t="s">
        <v>512</v>
      </c>
      <c r="J1063" s="54" t="str">
        <f t="shared" si="46"/>
        <v>CHCOS185</v>
      </c>
    </row>
    <row r="1064" spans="1:10" hidden="1">
      <c r="A1064" s="71" t="s">
        <v>610</v>
      </c>
      <c r="B1064" s="75"/>
      <c r="C1064" s="1660" t="s">
        <v>3498</v>
      </c>
      <c r="D1064" s="72" t="s">
        <v>2555</v>
      </c>
      <c r="E1064" s="2008" t="str">
        <f t="shared" ref="E1064:E1131" si="47">LEFT(A1064,2)</f>
        <v>CH</v>
      </c>
      <c r="F1064" s="54">
        <v>50</v>
      </c>
      <c r="G1064" s="54" t="s">
        <v>512</v>
      </c>
      <c r="J1064" s="54" t="str">
        <f t="shared" si="46"/>
        <v>CHCOS200</v>
      </c>
    </row>
    <row r="1065" spans="1:10" hidden="1">
      <c r="A1065" s="71" t="s">
        <v>90</v>
      </c>
      <c r="B1065" s="75"/>
      <c r="C1065" s="1660" t="s">
        <v>3499</v>
      </c>
      <c r="D1065" s="72" t="s">
        <v>2555</v>
      </c>
      <c r="E1065" s="2008" t="str">
        <f t="shared" si="47"/>
        <v>CH</v>
      </c>
      <c r="F1065" s="54">
        <v>50</v>
      </c>
      <c r="G1065" s="54" t="s">
        <v>512</v>
      </c>
      <c r="J1065" s="54" t="str">
        <f t="shared" si="46"/>
        <v>CHCOS240</v>
      </c>
    </row>
    <row r="1066" spans="1:10" hidden="1">
      <c r="A1066" s="71" t="s">
        <v>1072</v>
      </c>
      <c r="B1066" s="75"/>
      <c r="C1066" s="1660" t="s">
        <v>3500</v>
      </c>
      <c r="D1066" s="72" t="s">
        <v>2555</v>
      </c>
      <c r="E1066" s="2008" t="str">
        <f t="shared" si="47"/>
        <v>CH</v>
      </c>
      <c r="F1066" s="54">
        <v>50</v>
      </c>
      <c r="G1066" s="54" t="s">
        <v>512</v>
      </c>
      <c r="J1066" s="54" t="str">
        <f t="shared" si="46"/>
        <v>CHCOS250</v>
      </c>
    </row>
    <row r="1067" spans="1:10" hidden="1">
      <c r="A1067" s="71" t="s">
        <v>975</v>
      </c>
      <c r="B1067" s="75"/>
      <c r="C1067" s="1660" t="s">
        <v>3501</v>
      </c>
      <c r="D1067" s="72" t="s">
        <v>2555</v>
      </c>
      <c r="E1067" s="2008" t="str">
        <f t="shared" si="47"/>
        <v>CH</v>
      </c>
      <c r="F1067" s="54">
        <v>50</v>
      </c>
      <c r="G1067" s="54" t="s">
        <v>512</v>
      </c>
      <c r="J1067" s="54" t="str">
        <f t="shared" si="46"/>
        <v>CHCOS300</v>
      </c>
    </row>
    <row r="1068" spans="1:10" hidden="1">
      <c r="A1068" s="71" t="s">
        <v>381</v>
      </c>
      <c r="B1068" s="75"/>
      <c r="C1068" s="1660" t="s">
        <v>3502</v>
      </c>
      <c r="D1068" s="72" t="s">
        <v>2439</v>
      </c>
      <c r="E1068" s="2008" t="str">
        <f t="shared" si="47"/>
        <v>CH</v>
      </c>
      <c r="F1068" s="54">
        <v>50</v>
      </c>
      <c r="G1068" s="54" t="s">
        <v>512</v>
      </c>
      <c r="J1068" s="54" t="str">
        <f t="shared" si="46"/>
        <v>CHFCO</v>
      </c>
    </row>
    <row r="1069" spans="1:10" hidden="1">
      <c r="A1069" s="71" t="s">
        <v>379</v>
      </c>
      <c r="B1069" s="75"/>
      <c r="C1069" s="1660" t="s">
        <v>3503</v>
      </c>
      <c r="D1069" s="72" t="s">
        <v>2555</v>
      </c>
      <c r="E1069" s="2008" t="str">
        <f t="shared" si="47"/>
        <v>CH</v>
      </c>
      <c r="F1069" s="54">
        <v>50</v>
      </c>
      <c r="G1069" s="54" t="s">
        <v>512</v>
      </c>
      <c r="J1069" s="54" t="str">
        <f t="shared" si="46"/>
        <v>CHLA</v>
      </c>
    </row>
    <row r="1070" spans="1:10" hidden="1">
      <c r="A1070" s="71" t="s">
        <v>380</v>
      </c>
      <c r="B1070" s="75"/>
      <c r="C1070" s="1660" t="s">
        <v>3504</v>
      </c>
      <c r="D1070" s="72" t="s">
        <v>2555</v>
      </c>
      <c r="E1070" s="2008" t="str">
        <f>LEFT(A1070,2)</f>
        <v>CH</v>
      </c>
      <c r="F1070" s="54">
        <v>50</v>
      </c>
      <c r="G1070" s="54" t="s">
        <v>512</v>
      </c>
      <c r="J1070" s="54" t="str">
        <f t="shared" ref="J1070" si="48">A1070</f>
        <v>CHMBA</v>
      </c>
    </row>
    <row r="1071" spans="1:10" hidden="1">
      <c r="A1071" s="71" t="s">
        <v>6537</v>
      </c>
      <c r="B1071" s="75"/>
      <c r="C1071" s="1660" t="s">
        <v>6538</v>
      </c>
      <c r="D1071" s="72" t="s">
        <v>2555</v>
      </c>
      <c r="E1071" s="2008" t="str">
        <f>LEFT(A1071,2)</f>
        <v>CH</v>
      </c>
      <c r="F1071" s="54">
        <v>50</v>
      </c>
      <c r="G1071" s="54" t="s">
        <v>512</v>
      </c>
      <c r="J1071" s="54" t="str">
        <f t="shared" si="46"/>
        <v>CHLBS-REC</v>
      </c>
    </row>
    <row r="1072" spans="1:10" hidden="1">
      <c r="A1072" s="71" t="s">
        <v>4460</v>
      </c>
      <c r="B1072" s="75"/>
      <c r="C1072" s="1660" t="s">
        <v>4461</v>
      </c>
      <c r="D1072" s="72" t="s">
        <v>2439</v>
      </c>
      <c r="E1072" s="2008" t="str">
        <f t="shared" si="47"/>
        <v>CH</v>
      </c>
      <c r="F1072" s="54">
        <v>50</v>
      </c>
      <c r="G1072" s="54" t="s">
        <v>512</v>
      </c>
      <c r="J1072" s="54" t="str">
        <f t="shared" si="46"/>
        <v>CHQ-H</v>
      </c>
    </row>
    <row r="1073" spans="1:10" hidden="1">
      <c r="A1073" s="71" t="s">
        <v>197</v>
      </c>
      <c r="B1073" s="1658"/>
      <c r="C1073" s="1647" t="s">
        <v>3505</v>
      </c>
      <c r="D1073" s="72" t="s">
        <v>1823</v>
      </c>
      <c r="E1073" s="2008" t="str">
        <f t="shared" si="47"/>
        <v>DK</v>
      </c>
      <c r="F1073" s="54">
        <v>50</v>
      </c>
      <c r="G1073" s="54" t="s">
        <v>512</v>
      </c>
      <c r="J1073" s="54" t="str">
        <f t="shared" si="46"/>
        <v>DK2x11</v>
      </c>
    </row>
    <row r="1074" spans="1:10" hidden="1">
      <c r="A1074" s="71" t="s">
        <v>198</v>
      </c>
      <c r="B1074" s="1658"/>
      <c r="C1074" s="1647" t="s">
        <v>3506</v>
      </c>
      <c r="D1074" s="72" t="s">
        <v>1823</v>
      </c>
      <c r="E1074" s="2008" t="str">
        <f t="shared" si="47"/>
        <v>DV</v>
      </c>
      <c r="F1074" s="54">
        <v>50</v>
      </c>
      <c r="G1074" s="54" t="s">
        <v>512</v>
      </c>
      <c r="J1074" s="54" t="str">
        <f t="shared" si="46"/>
        <v>DVV7x1.5</v>
      </c>
    </row>
    <row r="1075" spans="1:10" hidden="1">
      <c r="A1075" s="71" t="s">
        <v>1682</v>
      </c>
      <c r="B1075" s="1658"/>
      <c r="C1075" s="1647" t="s">
        <v>3507</v>
      </c>
      <c r="D1075" s="72" t="s">
        <v>1823</v>
      </c>
      <c r="E1075" s="2008" t="str">
        <f t="shared" si="47"/>
        <v>Du</v>
      </c>
      <c r="F1075" s="54">
        <v>50</v>
      </c>
      <c r="G1075" s="54" t="s">
        <v>512</v>
      </c>
      <c r="J1075" s="54" t="str">
        <f t="shared" si="46"/>
        <v>Duplex 211</v>
      </c>
    </row>
    <row r="1076" spans="1:10" hidden="1">
      <c r="A1076" s="71" t="s">
        <v>3</v>
      </c>
      <c r="B1076" s="1658"/>
      <c r="C1076" s="1647" t="s">
        <v>3508</v>
      </c>
      <c r="D1076" s="72" t="s">
        <v>1823</v>
      </c>
      <c r="E1076" s="2008" t="str">
        <f t="shared" si="47"/>
        <v>Du</v>
      </c>
      <c r="F1076" s="54">
        <v>50</v>
      </c>
      <c r="G1076" s="54" t="s">
        <v>512</v>
      </c>
      <c r="J1076" s="54" t="str">
        <f t="shared" si="46"/>
        <v>Duplex 216</v>
      </c>
    </row>
    <row r="1077" spans="1:10" hidden="1">
      <c r="A1077" s="71" t="s">
        <v>927</v>
      </c>
      <c r="B1077" s="1658"/>
      <c r="C1077" s="1647" t="s">
        <v>3509</v>
      </c>
      <c r="D1077" s="72" t="s">
        <v>1823</v>
      </c>
      <c r="E1077" s="2008" t="str">
        <f t="shared" si="47"/>
        <v>Du</v>
      </c>
      <c r="F1077" s="54">
        <v>50</v>
      </c>
      <c r="G1077" s="54" t="s">
        <v>512</v>
      </c>
      <c r="J1077" s="54" t="str">
        <f t="shared" si="46"/>
        <v>Duplex 311</v>
      </c>
    </row>
    <row r="1078" spans="1:10" hidden="1">
      <c r="A1078" s="71" t="s">
        <v>928</v>
      </c>
      <c r="B1078" s="1658"/>
      <c r="C1078" s="1647" t="s">
        <v>3510</v>
      </c>
      <c r="D1078" s="72" t="s">
        <v>1823</v>
      </c>
      <c r="E1078" s="2008" t="str">
        <f t="shared" si="47"/>
        <v>Du</v>
      </c>
      <c r="F1078" s="54">
        <v>50</v>
      </c>
      <c r="G1078" s="54" t="s">
        <v>512</v>
      </c>
      <c r="J1078" s="54" t="str">
        <f t="shared" si="46"/>
        <v>Duplex 316</v>
      </c>
    </row>
    <row r="1079" spans="1:10" hidden="1">
      <c r="A1079" s="71" t="s">
        <v>1683</v>
      </c>
      <c r="B1079" s="1658"/>
      <c r="C1079" s="1647" t="s">
        <v>3511</v>
      </c>
      <c r="D1079" s="72" t="s">
        <v>1823</v>
      </c>
      <c r="E1079" s="2008" t="str">
        <f t="shared" si="47"/>
        <v>Du</v>
      </c>
      <c r="F1079" s="54">
        <v>50</v>
      </c>
      <c r="G1079" s="54" t="s">
        <v>512</v>
      </c>
      <c r="J1079" s="54" t="str">
        <f t="shared" si="46"/>
        <v>Duplex 411</v>
      </c>
    </row>
    <row r="1080" spans="1:10" hidden="1">
      <c r="A1080" s="71" t="s">
        <v>4</v>
      </c>
      <c r="B1080" s="1658"/>
      <c r="C1080" s="1647" t="s">
        <v>3512</v>
      </c>
      <c r="D1080" s="72" t="s">
        <v>1823</v>
      </c>
      <c r="E1080" s="2008" t="str">
        <f t="shared" si="47"/>
        <v>Du</v>
      </c>
      <c r="F1080" s="54">
        <v>50</v>
      </c>
      <c r="G1080" s="54" t="s">
        <v>512</v>
      </c>
      <c r="J1080" s="54" t="str">
        <f t="shared" si="46"/>
        <v>Duplex 416</v>
      </c>
    </row>
    <row r="1081" spans="1:10" hidden="1">
      <c r="A1081" s="71" t="s">
        <v>1060</v>
      </c>
      <c r="B1081" s="72" t="s">
        <v>108</v>
      </c>
      <c r="C1081" s="1647" t="s">
        <v>3513</v>
      </c>
      <c r="D1081" s="72" t="s">
        <v>2439</v>
      </c>
      <c r="E1081" s="2008" t="str">
        <f t="shared" si="47"/>
        <v>DE</v>
      </c>
      <c r="F1081" s="54">
        <v>50</v>
      </c>
      <c r="G1081" s="54" t="s">
        <v>512</v>
      </c>
      <c r="J1081" s="54" t="str">
        <f t="shared" si="46"/>
        <v>DENHQ</v>
      </c>
    </row>
    <row r="1082" spans="1:10" hidden="1">
      <c r="A1082" s="71" t="s">
        <v>1510</v>
      </c>
      <c r="B1082" s="1658"/>
      <c r="C1082" s="1647" t="s">
        <v>3514</v>
      </c>
      <c r="D1082" s="72" t="s">
        <v>2532</v>
      </c>
      <c r="E1082" s="2008" t="str">
        <f t="shared" si="47"/>
        <v>D1</v>
      </c>
      <c r="F1082" s="54">
        <v>50</v>
      </c>
      <c r="G1082" s="54" t="s">
        <v>512</v>
      </c>
      <c r="J1082" s="54" t="str">
        <f t="shared" si="46"/>
        <v>D16/10</v>
      </c>
    </row>
    <row r="1083" spans="1:10" hidden="1">
      <c r="A1083" s="71" t="s">
        <v>469</v>
      </c>
      <c r="B1083" s="1641"/>
      <c r="C1083" s="1647" t="s">
        <v>3515</v>
      </c>
      <c r="D1083" s="72" t="s">
        <v>2532</v>
      </c>
      <c r="E1083" s="2008" t="str">
        <f t="shared" si="47"/>
        <v>D2</v>
      </c>
      <c r="F1083" s="54">
        <v>50</v>
      </c>
      <c r="G1083" s="54" t="s">
        <v>512</v>
      </c>
      <c r="J1083" s="54" t="str">
        <f t="shared" si="46"/>
        <v>D20/10</v>
      </c>
    </row>
    <row r="1084" spans="1:10" hidden="1">
      <c r="A1084" s="71" t="s">
        <v>1511</v>
      </c>
      <c r="B1084" s="1658"/>
      <c r="C1084" s="1647" t="s">
        <v>3516</v>
      </c>
      <c r="D1084" s="72" t="s">
        <v>2532</v>
      </c>
      <c r="E1084" s="2008" t="str">
        <f t="shared" si="47"/>
        <v>D3</v>
      </c>
      <c r="F1084" s="54">
        <v>50</v>
      </c>
      <c r="G1084" s="54" t="s">
        <v>512</v>
      </c>
      <c r="J1084" s="54" t="str">
        <f t="shared" si="46"/>
        <v>D30/10</v>
      </c>
    </row>
    <row r="1085" spans="1:10" hidden="1">
      <c r="A1085" s="71" t="s">
        <v>1349</v>
      </c>
      <c r="B1085" s="1658"/>
      <c r="C1085" s="1647" t="s">
        <v>3517</v>
      </c>
      <c r="D1085" s="72" t="s">
        <v>3518</v>
      </c>
      <c r="E1085" s="2008" t="str">
        <f t="shared" si="47"/>
        <v>DR</v>
      </c>
      <c r="F1085" s="54">
        <v>50</v>
      </c>
      <c r="G1085" s="54" t="s">
        <v>512</v>
      </c>
      <c r="J1085" s="54" t="str">
        <f t="shared" si="46"/>
        <v>DRC</v>
      </c>
    </row>
    <row r="1086" spans="1:10" hidden="1">
      <c r="A1086" s="71" t="s">
        <v>1512</v>
      </c>
      <c r="B1086" s="75" t="s">
        <v>1513</v>
      </c>
      <c r="C1086" s="1647" t="s">
        <v>3519</v>
      </c>
      <c r="D1086" s="72" t="s">
        <v>2555</v>
      </c>
      <c r="E1086" s="2008" t="str">
        <f t="shared" si="47"/>
        <v>CD</v>
      </c>
      <c r="F1086" s="54">
        <v>50</v>
      </c>
      <c r="G1086" s="54" t="s">
        <v>512</v>
      </c>
      <c r="J1086" s="54" t="str">
        <f t="shared" si="46"/>
        <v>CDAO15</v>
      </c>
    </row>
    <row r="1087" spans="1:10" hidden="1">
      <c r="A1087" s="71" t="s">
        <v>1514</v>
      </c>
      <c r="B1087" s="75" t="s">
        <v>1513</v>
      </c>
      <c r="C1087" s="1647" t="s">
        <v>3520</v>
      </c>
      <c r="D1087" s="72" t="s">
        <v>2555</v>
      </c>
      <c r="E1087" s="2008" t="str">
        <f t="shared" si="47"/>
        <v>CD</v>
      </c>
      <c r="F1087" s="54">
        <v>50</v>
      </c>
      <c r="G1087" s="54" t="s">
        <v>512</v>
      </c>
      <c r="J1087" s="54" t="str">
        <f t="shared" si="46"/>
        <v>CDAO30</v>
      </c>
    </row>
    <row r="1088" spans="1:10" hidden="1">
      <c r="A1088" s="71" t="s">
        <v>261</v>
      </c>
      <c r="B1088" s="75" t="s">
        <v>1513</v>
      </c>
      <c r="C1088" s="1647" t="s">
        <v>3521</v>
      </c>
      <c r="D1088" s="72" t="s">
        <v>2555</v>
      </c>
      <c r="E1088" s="2008" t="str">
        <f t="shared" si="47"/>
        <v>CD</v>
      </c>
      <c r="F1088" s="54">
        <v>50</v>
      </c>
      <c r="G1088" s="54" t="s">
        <v>512</v>
      </c>
      <c r="J1088" s="54" t="str">
        <f t="shared" si="46"/>
        <v>CDAO60</v>
      </c>
    </row>
    <row r="1089" spans="1:10">
      <c r="A1089" s="71" t="s">
        <v>262</v>
      </c>
      <c r="B1089" s="75" t="s">
        <v>1513</v>
      </c>
      <c r="C1089" s="1647" t="s">
        <v>3522</v>
      </c>
      <c r="D1089" s="72" t="s">
        <v>2555</v>
      </c>
      <c r="E1089" s="2008" t="str">
        <f t="shared" si="47"/>
        <v>CD</v>
      </c>
      <c r="F1089" s="54">
        <v>50</v>
      </c>
      <c r="G1089" s="54" t="s">
        <v>512</v>
      </c>
      <c r="J1089" s="54" t="str">
        <f t="shared" si="46"/>
        <v>CDAO100</v>
      </c>
    </row>
    <row r="1090" spans="1:10" hidden="1">
      <c r="A1090" s="71" t="s">
        <v>712</v>
      </c>
      <c r="B1090" s="75" t="s">
        <v>1513</v>
      </c>
      <c r="C1090" s="1647" t="s">
        <v>3523</v>
      </c>
      <c r="D1090" s="72" t="s">
        <v>2555</v>
      </c>
      <c r="E1090" s="2008" t="str">
        <f t="shared" si="47"/>
        <v>CD</v>
      </c>
      <c r="F1090" s="54">
        <v>50</v>
      </c>
      <c r="G1090" s="54" t="s">
        <v>512</v>
      </c>
      <c r="J1090" s="54" t="str">
        <f t="shared" si="46"/>
        <v>CDAO150</v>
      </c>
    </row>
    <row r="1091" spans="1:10" hidden="1">
      <c r="A1091" s="71" t="s">
        <v>1098</v>
      </c>
      <c r="B1091" s="75" t="s">
        <v>1513</v>
      </c>
      <c r="C1091" s="1647" t="s">
        <v>3524</v>
      </c>
      <c r="D1091" s="72" t="s">
        <v>2555</v>
      </c>
      <c r="E1091" s="2008" t="str">
        <f t="shared" si="47"/>
        <v>CD</v>
      </c>
      <c r="F1091" s="54">
        <v>50</v>
      </c>
      <c r="G1091" s="54" t="s">
        <v>512</v>
      </c>
      <c r="J1091" s="54" t="str">
        <f t="shared" si="46"/>
        <v>CDAO200</v>
      </c>
    </row>
    <row r="1092" spans="1:10" hidden="1">
      <c r="A1092" s="71" t="s">
        <v>297</v>
      </c>
      <c r="B1092" s="75" t="s">
        <v>1513</v>
      </c>
      <c r="C1092" s="1647" t="s">
        <v>3525</v>
      </c>
      <c r="D1092" s="72" t="s">
        <v>2555</v>
      </c>
      <c r="E1092" s="2008" t="str">
        <f t="shared" si="47"/>
        <v>CD</v>
      </c>
      <c r="F1092" s="54">
        <v>50</v>
      </c>
      <c r="G1092" s="54" t="s">
        <v>512</v>
      </c>
      <c r="J1092" s="54" t="str">
        <f t="shared" si="46"/>
        <v>CDAO250</v>
      </c>
    </row>
    <row r="1093" spans="1:10" hidden="1">
      <c r="A1093" s="71" t="s">
        <v>1059</v>
      </c>
      <c r="B1093" s="75" t="s">
        <v>1513</v>
      </c>
      <c r="C1093" s="1647" t="s">
        <v>3526</v>
      </c>
      <c r="D1093" s="72" t="s">
        <v>2555</v>
      </c>
      <c r="E1093" s="2008" t="str">
        <f t="shared" si="47"/>
        <v>CD</v>
      </c>
      <c r="F1093" s="54">
        <v>50</v>
      </c>
      <c r="G1093" s="54" t="s">
        <v>512</v>
      </c>
      <c r="J1093" s="54" t="str">
        <f t="shared" si="46"/>
        <v>CDAO300</v>
      </c>
    </row>
    <row r="1094" spans="1:10" hidden="1">
      <c r="A1094" s="71" t="s">
        <v>1701</v>
      </c>
      <c r="B1094" s="1658"/>
      <c r="C1094" s="1647" t="s">
        <v>3527</v>
      </c>
      <c r="D1094" s="72" t="s">
        <v>1823</v>
      </c>
      <c r="E1094" s="2008" t="str">
        <f t="shared" si="47"/>
        <v>PV</v>
      </c>
      <c r="F1094" s="54">
        <v>50</v>
      </c>
      <c r="G1094" s="54" t="s">
        <v>512</v>
      </c>
      <c r="J1094" s="54" t="str">
        <f t="shared" si="46"/>
        <v>PVC200</v>
      </c>
    </row>
    <row r="1095" spans="1:10" hidden="1">
      <c r="A1095" s="71" t="s">
        <v>1677</v>
      </c>
      <c r="B1095" s="1658"/>
      <c r="C1095" s="1647" t="s">
        <v>3528</v>
      </c>
      <c r="D1095" s="72" t="s">
        <v>1823</v>
      </c>
      <c r="E1095" s="2008" t="str">
        <f t="shared" si="47"/>
        <v>PV</v>
      </c>
      <c r="F1095" s="54">
        <v>50</v>
      </c>
      <c r="G1095" s="54" t="s">
        <v>512</v>
      </c>
      <c r="J1095" s="54" t="str">
        <f t="shared" si="46"/>
        <v>PVC168</v>
      </c>
    </row>
    <row r="1096" spans="1:10" hidden="1">
      <c r="A1096" s="71" t="s">
        <v>1518</v>
      </c>
      <c r="B1096" s="1658"/>
      <c r="C1096" s="1647" t="s">
        <v>3529</v>
      </c>
      <c r="D1096" s="72" t="s">
        <v>1823</v>
      </c>
      <c r="E1096" s="2008" t="str">
        <f t="shared" si="47"/>
        <v>PV</v>
      </c>
      <c r="F1096" s="54">
        <v>50</v>
      </c>
      <c r="G1096" s="54" t="s">
        <v>512</v>
      </c>
      <c r="J1096" s="54" t="str">
        <f t="shared" si="46"/>
        <v>PVC140</v>
      </c>
    </row>
    <row r="1097" spans="1:10" hidden="1">
      <c r="A1097" s="71" t="s">
        <v>1042</v>
      </c>
      <c r="B1097" s="1658"/>
      <c r="C1097" s="1647" t="s">
        <v>3530</v>
      </c>
      <c r="D1097" s="72" t="s">
        <v>1823</v>
      </c>
      <c r="E1097" s="2008" t="str">
        <f t="shared" si="47"/>
        <v>PV</v>
      </c>
      <c r="F1097" s="54">
        <v>50</v>
      </c>
      <c r="G1097" s="54" t="s">
        <v>512</v>
      </c>
      <c r="J1097" s="54" t="str">
        <f t="shared" si="46"/>
        <v>PVC114</v>
      </c>
    </row>
    <row r="1098" spans="1:10" hidden="1">
      <c r="A1098" s="71" t="s">
        <v>282</v>
      </c>
      <c r="B1098" s="1658" t="s">
        <v>1751</v>
      </c>
      <c r="C1098" s="1647" t="s">
        <v>3531</v>
      </c>
      <c r="D1098" s="72" t="s">
        <v>1823</v>
      </c>
      <c r="E1098" s="2008" t="str">
        <f t="shared" si="47"/>
        <v>PV</v>
      </c>
      <c r="F1098" s="54">
        <v>50</v>
      </c>
      <c r="G1098" s="54" t="s">
        <v>512</v>
      </c>
      <c r="J1098" s="54" t="str">
        <f t="shared" si="46"/>
        <v>PVC90</v>
      </c>
    </row>
    <row r="1099" spans="1:10" hidden="1">
      <c r="A1099" s="71" t="s">
        <v>2009</v>
      </c>
      <c r="B1099" s="1658" t="s">
        <v>1777</v>
      </c>
      <c r="C1099" s="1647" t="s">
        <v>3532</v>
      </c>
      <c r="D1099" s="72" t="s">
        <v>1823</v>
      </c>
      <c r="E1099" s="2008" t="str">
        <f t="shared" si="47"/>
        <v>PV</v>
      </c>
      <c r="F1099" s="54">
        <v>50</v>
      </c>
      <c r="G1099" s="54" t="s">
        <v>512</v>
      </c>
      <c r="J1099" s="54" t="str">
        <f t="shared" si="46"/>
        <v>PVC60</v>
      </c>
    </row>
    <row r="1100" spans="1:10" hidden="1">
      <c r="A1100" s="71" t="s">
        <v>895</v>
      </c>
      <c r="B1100" s="1658" t="s">
        <v>1776</v>
      </c>
      <c r="C1100" s="1647" t="s">
        <v>3533</v>
      </c>
      <c r="D1100" s="72" t="s">
        <v>1823</v>
      </c>
      <c r="E1100" s="2008" t="str">
        <f t="shared" si="47"/>
        <v>PV</v>
      </c>
      <c r="F1100" s="54">
        <v>50</v>
      </c>
      <c r="G1100" s="54" t="s">
        <v>512</v>
      </c>
      <c r="J1100" s="54" t="str">
        <f t="shared" si="46"/>
        <v>PVC49</v>
      </c>
    </row>
    <row r="1101" spans="1:10" hidden="1">
      <c r="A1101" s="71" t="s">
        <v>2141</v>
      </c>
      <c r="B1101" s="1658" t="s">
        <v>1776</v>
      </c>
      <c r="C1101" s="1647" t="s">
        <v>3534</v>
      </c>
      <c r="D1101" s="72" t="s">
        <v>1823</v>
      </c>
      <c r="E1101" s="2008" t="str">
        <f t="shared" si="47"/>
        <v>PV</v>
      </c>
      <c r="F1101" s="54">
        <v>50</v>
      </c>
      <c r="G1101" s="54" t="s">
        <v>512</v>
      </c>
      <c r="J1101" s="54" t="str">
        <f t="shared" si="46"/>
        <v>PVC42</v>
      </c>
    </row>
    <row r="1102" spans="1:10" hidden="1">
      <c r="A1102" s="71" t="s">
        <v>576</v>
      </c>
      <c r="B1102" s="1658" t="s">
        <v>1776</v>
      </c>
      <c r="C1102" s="1647" t="s">
        <v>3535</v>
      </c>
      <c r="D1102" s="72" t="s">
        <v>1823</v>
      </c>
      <c r="E1102" s="2008" t="str">
        <f t="shared" si="47"/>
        <v>PV</v>
      </c>
      <c r="F1102" s="54">
        <v>50</v>
      </c>
      <c r="G1102" s="54" t="s">
        <v>512</v>
      </c>
      <c r="J1102" s="54" t="str">
        <f t="shared" si="46"/>
        <v>PVC21</v>
      </c>
    </row>
    <row r="1103" spans="1:10" hidden="1">
      <c r="A1103" s="71" t="s">
        <v>1051</v>
      </c>
      <c r="B1103" s="1658"/>
      <c r="C1103" s="1647" t="s">
        <v>3536</v>
      </c>
      <c r="D1103" s="72" t="s">
        <v>2532</v>
      </c>
      <c r="E1103" s="2008" t="str">
        <f t="shared" si="47"/>
        <v>OD</v>
      </c>
      <c r="F1103" s="54">
        <v>50</v>
      </c>
      <c r="G1103" s="54" t="s">
        <v>512</v>
      </c>
      <c r="J1103" s="54" t="str">
        <f t="shared" si="46"/>
        <v>ODH42</v>
      </c>
    </row>
    <row r="1104" spans="1:10" hidden="1">
      <c r="A1104" s="71" t="s">
        <v>238</v>
      </c>
      <c r="B1104" s="1658" t="s">
        <v>575</v>
      </c>
      <c r="C1104" s="1647" t="s">
        <v>3537</v>
      </c>
      <c r="D1104" s="72" t="s">
        <v>1823</v>
      </c>
      <c r="E1104" s="2008" t="str">
        <f t="shared" si="47"/>
        <v>ON</v>
      </c>
      <c r="F1104" s="54">
        <v>50</v>
      </c>
      <c r="G1104" s="54" t="s">
        <v>512</v>
      </c>
      <c r="J1104" s="54" t="str">
        <f t="shared" ref="J1104:J1167" si="49">A1104</f>
        <v>ONGDH168</v>
      </c>
    </row>
    <row r="1105" spans="1:10" hidden="1">
      <c r="A1105" s="71" t="s">
        <v>2274</v>
      </c>
      <c r="B1105" s="1658" t="s">
        <v>575</v>
      </c>
      <c r="C1105" s="1647" t="s">
        <v>3538</v>
      </c>
      <c r="D1105" s="72" t="s">
        <v>1823</v>
      </c>
      <c r="E1105" s="2008" t="str">
        <f t="shared" si="47"/>
        <v>ON</v>
      </c>
      <c r="F1105" s="54">
        <v>50</v>
      </c>
      <c r="G1105" s="54" t="s">
        <v>512</v>
      </c>
      <c r="J1105" s="54" t="str">
        <f t="shared" si="49"/>
        <v>ONGDH42</v>
      </c>
    </row>
    <row r="1106" spans="1:10" hidden="1">
      <c r="A1106" s="71" t="s">
        <v>1740</v>
      </c>
      <c r="B1106" s="1658" t="s">
        <v>575</v>
      </c>
      <c r="C1106" s="1647" t="s">
        <v>3539</v>
      </c>
      <c r="D1106" s="72" t="s">
        <v>1823</v>
      </c>
      <c r="E1106" s="2008" t="str">
        <f t="shared" si="47"/>
        <v>ON</v>
      </c>
      <c r="F1106" s="54">
        <v>50</v>
      </c>
      <c r="G1106" s="54" t="s">
        <v>512</v>
      </c>
      <c r="J1106" s="54" t="str">
        <f t="shared" si="49"/>
        <v>ONGDH114</v>
      </c>
    </row>
    <row r="1107" spans="1:10" hidden="1">
      <c r="A1107" s="71" t="s">
        <v>577</v>
      </c>
      <c r="B1107" s="75"/>
      <c r="C1107" s="1647" t="s">
        <v>578</v>
      </c>
      <c r="D1107" s="72" t="s">
        <v>2555</v>
      </c>
      <c r="E1107" s="2008" t="str">
        <f t="shared" si="47"/>
        <v>CU</v>
      </c>
      <c r="F1107" s="54">
        <v>50</v>
      </c>
      <c r="G1107" s="54" t="s">
        <v>512</v>
      </c>
      <c r="J1107" s="54" t="str">
        <f t="shared" si="49"/>
        <v>CUT21</v>
      </c>
    </row>
    <row r="1108" spans="1:10" hidden="1">
      <c r="A1108" s="71" t="s">
        <v>245</v>
      </c>
      <c r="B1108" s="75"/>
      <c r="C1108" s="1647" t="s">
        <v>3540</v>
      </c>
      <c r="D1108" s="72" t="s">
        <v>2555</v>
      </c>
      <c r="E1108" s="2008" t="str">
        <f t="shared" si="47"/>
        <v>CU</v>
      </c>
      <c r="F1108" s="54">
        <v>50</v>
      </c>
      <c r="G1108" s="54" t="s">
        <v>512</v>
      </c>
      <c r="J1108" s="54" t="str">
        <f t="shared" si="49"/>
        <v>CUT4245</v>
      </c>
    </row>
    <row r="1109" spans="1:10" hidden="1">
      <c r="A1109" s="71" t="s">
        <v>1616</v>
      </c>
      <c r="B1109" s="75"/>
      <c r="C1109" s="1647" t="s">
        <v>3541</v>
      </c>
      <c r="D1109" s="72" t="s">
        <v>2555</v>
      </c>
      <c r="E1109" s="2008" t="str">
        <f t="shared" si="47"/>
        <v>CU</v>
      </c>
      <c r="F1109" s="54">
        <v>50</v>
      </c>
      <c r="G1109" s="54" t="s">
        <v>512</v>
      </c>
      <c r="J1109" s="54" t="str">
        <f t="shared" si="49"/>
        <v>CUT42</v>
      </c>
    </row>
    <row r="1110" spans="1:10" hidden="1">
      <c r="A1110" s="71" t="s">
        <v>1050</v>
      </c>
      <c r="B1110" s="75"/>
      <c r="C1110" s="1647" t="s">
        <v>3542</v>
      </c>
      <c r="D1110" s="72" t="s">
        <v>2555</v>
      </c>
      <c r="E1110" s="2008" t="str">
        <f t="shared" si="47"/>
        <v>CU</v>
      </c>
      <c r="F1110" s="54">
        <v>50</v>
      </c>
      <c r="G1110" s="54" t="s">
        <v>512</v>
      </c>
      <c r="J1110" s="54" t="str">
        <f t="shared" si="49"/>
        <v>CUT42T</v>
      </c>
    </row>
    <row r="1111" spans="1:10" hidden="1">
      <c r="A1111" s="71" t="s">
        <v>1105</v>
      </c>
      <c r="B1111" s="75"/>
      <c r="C1111" s="1647" t="s">
        <v>3543</v>
      </c>
      <c r="D1111" s="72" t="s">
        <v>2555</v>
      </c>
      <c r="E1111" s="2008" t="str">
        <f t="shared" si="47"/>
        <v>CU</v>
      </c>
      <c r="F1111" s="54">
        <v>50</v>
      </c>
      <c r="G1111" s="54" t="s">
        <v>512</v>
      </c>
      <c r="J1111" s="54" t="str">
        <f t="shared" si="49"/>
        <v>CUT60</v>
      </c>
    </row>
    <row r="1112" spans="1:10" hidden="1">
      <c r="A1112" s="71" t="s">
        <v>940</v>
      </c>
      <c r="B1112" s="75"/>
      <c r="C1112" s="1647" t="s">
        <v>3544</v>
      </c>
      <c r="D1112" s="72" t="s">
        <v>2555</v>
      </c>
      <c r="E1112" s="2008" t="str">
        <f t="shared" si="47"/>
        <v>CU</v>
      </c>
      <c r="F1112" s="54">
        <v>50</v>
      </c>
      <c r="G1112" s="54" t="s">
        <v>512</v>
      </c>
      <c r="J1112" s="54" t="str">
        <f t="shared" si="49"/>
        <v>CUT60135</v>
      </c>
    </row>
    <row r="1113" spans="1:10" hidden="1">
      <c r="A1113" s="71" t="s">
        <v>283</v>
      </c>
      <c r="B1113" s="75"/>
      <c r="C1113" s="1647" t="s">
        <v>3545</v>
      </c>
      <c r="D1113" s="72" t="s">
        <v>2555</v>
      </c>
      <c r="E1113" s="2008" t="str">
        <f t="shared" si="47"/>
        <v>CU</v>
      </c>
      <c r="F1113" s="54">
        <v>50</v>
      </c>
      <c r="G1113" s="54" t="s">
        <v>512</v>
      </c>
      <c r="J1113" s="54" t="str">
        <f t="shared" si="49"/>
        <v>CUT90</v>
      </c>
    </row>
    <row r="1114" spans="1:10" hidden="1">
      <c r="A1114" s="71" t="s">
        <v>1215</v>
      </c>
      <c r="B1114" s="75"/>
      <c r="C1114" s="1647" t="s">
        <v>3546</v>
      </c>
      <c r="D1114" s="72" t="s">
        <v>2555</v>
      </c>
      <c r="E1114" s="2008" t="str">
        <f t="shared" si="47"/>
        <v>CU</v>
      </c>
      <c r="F1114" s="54">
        <v>50</v>
      </c>
      <c r="G1114" s="54" t="s">
        <v>512</v>
      </c>
      <c r="J1114" s="54" t="str">
        <f t="shared" si="49"/>
        <v>CUT90135</v>
      </c>
    </row>
    <row r="1115" spans="1:10" hidden="1">
      <c r="A1115" s="71" t="s">
        <v>70</v>
      </c>
      <c r="B1115" s="75"/>
      <c r="C1115" s="1647" t="s">
        <v>3547</v>
      </c>
      <c r="D1115" s="72" t="s">
        <v>2555</v>
      </c>
      <c r="E1115" s="2008" t="str">
        <f t="shared" si="47"/>
        <v>CU</v>
      </c>
      <c r="F1115" s="54">
        <v>50</v>
      </c>
      <c r="G1115" s="54" t="s">
        <v>512</v>
      </c>
      <c r="J1115" s="54" t="str">
        <f t="shared" si="49"/>
        <v>CUT90T</v>
      </c>
    </row>
    <row r="1116" spans="1:10" hidden="1">
      <c r="A1116" s="71" t="s">
        <v>2117</v>
      </c>
      <c r="B1116" s="75"/>
      <c r="C1116" s="1647" t="s">
        <v>3548</v>
      </c>
      <c r="D1116" s="72" t="s">
        <v>2555</v>
      </c>
      <c r="E1116" s="2008" t="str">
        <f>LEFT(A1116,2)</f>
        <v>CU</v>
      </c>
      <c r="F1116" s="54">
        <v>50</v>
      </c>
      <c r="G1116" s="54" t="s">
        <v>512</v>
      </c>
      <c r="J1116" s="54" t="str">
        <f t="shared" si="49"/>
        <v>CUT114T</v>
      </c>
    </row>
    <row r="1117" spans="1:10" hidden="1">
      <c r="A1117" s="71" t="s">
        <v>4763</v>
      </c>
      <c r="B1117" s="75"/>
      <c r="C1117" s="1647" t="s">
        <v>4764</v>
      </c>
      <c r="D1117" s="72" t="s">
        <v>2555</v>
      </c>
      <c r="E1117" s="2008" t="str">
        <f t="shared" si="47"/>
        <v>CU</v>
      </c>
      <c r="F1117" s="54">
        <v>50</v>
      </c>
      <c r="G1117" s="54" t="s">
        <v>512</v>
      </c>
      <c r="J1117" s="54" t="str">
        <f t="shared" si="49"/>
        <v>CUT114L</v>
      </c>
    </row>
    <row r="1118" spans="1:10" hidden="1">
      <c r="A1118" s="71" t="s">
        <v>1043</v>
      </c>
      <c r="B1118" s="75"/>
      <c r="C1118" s="1647" t="s">
        <v>3549</v>
      </c>
      <c r="D1118" s="72" t="s">
        <v>2555</v>
      </c>
      <c r="E1118" s="2008" t="str">
        <f t="shared" si="47"/>
        <v>CU</v>
      </c>
      <c r="F1118" s="54">
        <v>50</v>
      </c>
      <c r="G1118" s="54" t="s">
        <v>512</v>
      </c>
      <c r="J1118" s="54" t="str">
        <f t="shared" si="49"/>
        <v>CUT114</v>
      </c>
    </row>
    <row r="1119" spans="1:10" hidden="1">
      <c r="A1119" s="71" t="s">
        <v>450</v>
      </c>
      <c r="B1119" s="75"/>
      <c r="C1119" s="1647" t="s">
        <v>3550</v>
      </c>
      <c r="D1119" s="72" t="s">
        <v>2555</v>
      </c>
      <c r="E1119" s="2008" t="str">
        <f t="shared" si="47"/>
        <v>CU</v>
      </c>
      <c r="F1119" s="54">
        <v>50</v>
      </c>
      <c r="G1119" s="54" t="s">
        <v>512</v>
      </c>
      <c r="J1119" s="54" t="str">
        <f t="shared" si="49"/>
        <v>CUT140t</v>
      </c>
    </row>
    <row r="1120" spans="1:10" hidden="1">
      <c r="A1120" s="71" t="s">
        <v>473</v>
      </c>
      <c r="B1120" s="75"/>
      <c r="C1120" s="1647" t="s">
        <v>3551</v>
      </c>
      <c r="D1120" s="72" t="s">
        <v>2555</v>
      </c>
      <c r="E1120" s="2008" t="str">
        <f t="shared" si="47"/>
        <v>CU</v>
      </c>
      <c r="F1120" s="54">
        <v>50</v>
      </c>
      <c r="G1120" s="54" t="s">
        <v>512</v>
      </c>
      <c r="J1120" s="54" t="str">
        <f t="shared" si="49"/>
        <v>CUT140</v>
      </c>
    </row>
    <row r="1121" spans="1:10" hidden="1">
      <c r="A1121" s="71" t="s">
        <v>1271</v>
      </c>
      <c r="B1121" s="75"/>
      <c r="C1121" s="1647" t="s">
        <v>3552</v>
      </c>
      <c r="D1121" s="72" t="s">
        <v>2555</v>
      </c>
      <c r="E1121" s="2008" t="str">
        <f t="shared" si="47"/>
        <v>CU</v>
      </c>
      <c r="F1121" s="54">
        <v>50</v>
      </c>
      <c r="G1121" s="54" t="s">
        <v>512</v>
      </c>
      <c r="J1121" s="54" t="str">
        <f t="shared" si="49"/>
        <v>CUT168</v>
      </c>
    </row>
    <row r="1122" spans="1:10" hidden="1">
      <c r="A1122" s="71" t="s">
        <v>688</v>
      </c>
      <c r="B1122" s="1658"/>
      <c r="C1122" s="1647" t="s">
        <v>4449</v>
      </c>
      <c r="D1122" s="72" t="s">
        <v>2555</v>
      </c>
      <c r="E1122" s="2008" t="str">
        <f>LEFT(A1122,2)</f>
        <v>NP</v>
      </c>
      <c r="F1122" s="54">
        <v>50</v>
      </c>
      <c r="G1122" s="54" t="s">
        <v>512</v>
      </c>
      <c r="J1122" s="54" t="str">
        <f t="shared" si="49"/>
        <v>NPVC114</v>
      </c>
    </row>
    <row r="1123" spans="1:10" hidden="1">
      <c r="A1123" s="71" t="s">
        <v>1407</v>
      </c>
      <c r="B1123" s="1658"/>
      <c r="C1123" s="1647" t="s">
        <v>3553</v>
      </c>
      <c r="D1123" s="72" t="s">
        <v>2555</v>
      </c>
      <c r="E1123" s="2008" t="str">
        <f t="shared" si="47"/>
        <v>NP</v>
      </c>
      <c r="F1123" s="54">
        <v>50</v>
      </c>
      <c r="G1123" s="54" t="s">
        <v>512</v>
      </c>
      <c r="J1123" s="54" t="str">
        <f t="shared" si="49"/>
        <v>NPVC140</v>
      </c>
    </row>
    <row r="1124" spans="1:10" hidden="1">
      <c r="A1124" s="71" t="s">
        <v>4344</v>
      </c>
      <c r="B1124" s="1658"/>
      <c r="C1124" s="1647" t="s">
        <v>4345</v>
      </c>
      <c r="D1124" s="72" t="s">
        <v>2555</v>
      </c>
      <c r="E1124" s="2008" t="str">
        <f t="shared" si="47"/>
        <v>NP</v>
      </c>
      <c r="F1124" s="54">
        <v>50</v>
      </c>
      <c r="G1124" s="54" t="s">
        <v>512</v>
      </c>
      <c r="J1124" s="54" t="str">
        <f t="shared" si="49"/>
        <v>NPVC114-90</v>
      </c>
    </row>
    <row r="1125" spans="1:10" hidden="1">
      <c r="A1125" s="71" t="s">
        <v>725</v>
      </c>
      <c r="B1125" s="1658"/>
      <c r="C1125" s="1647" t="s">
        <v>3554</v>
      </c>
      <c r="D1125" s="72" t="s">
        <v>2555</v>
      </c>
      <c r="E1125" s="2008" t="str">
        <f t="shared" si="47"/>
        <v>NP</v>
      </c>
      <c r="F1125" s="54">
        <v>50</v>
      </c>
      <c r="G1125" s="54" t="s">
        <v>512</v>
      </c>
      <c r="J1125" s="54" t="str">
        <f t="shared" si="49"/>
        <v>NPVC90</v>
      </c>
    </row>
    <row r="1126" spans="1:10" hidden="1">
      <c r="A1126" s="71" t="s">
        <v>1913</v>
      </c>
      <c r="B1126" s="1658"/>
      <c r="C1126" s="1647" t="s">
        <v>3555</v>
      </c>
      <c r="D1126" s="72" t="s">
        <v>2555</v>
      </c>
      <c r="E1126" s="2008" t="str">
        <f t="shared" si="47"/>
        <v>NP</v>
      </c>
      <c r="F1126" s="54">
        <v>50</v>
      </c>
      <c r="G1126" s="54" t="s">
        <v>512</v>
      </c>
      <c r="J1126" s="54" t="str">
        <f t="shared" si="49"/>
        <v>NPVC42</v>
      </c>
    </row>
    <row r="1127" spans="1:10" hidden="1">
      <c r="A1127" s="71" t="s">
        <v>2272</v>
      </c>
      <c r="B1127" s="1658"/>
      <c r="C1127" s="1647" t="s">
        <v>3556</v>
      </c>
      <c r="D1127" s="72" t="s">
        <v>2555</v>
      </c>
      <c r="E1127" s="2008" t="str">
        <f t="shared" si="47"/>
        <v>NP</v>
      </c>
      <c r="F1127" s="54">
        <v>50</v>
      </c>
      <c r="G1127" s="54" t="s">
        <v>512</v>
      </c>
      <c r="J1127" s="54" t="str">
        <f t="shared" si="49"/>
        <v>NPVC21</v>
      </c>
    </row>
    <row r="1128" spans="1:10" hidden="1">
      <c r="A1128" s="71" t="s">
        <v>2273</v>
      </c>
      <c r="B1128" s="1658"/>
      <c r="C1128" s="1647" t="s">
        <v>3557</v>
      </c>
      <c r="D1128" s="72" t="s">
        <v>2555</v>
      </c>
      <c r="E1128" s="2008" t="str">
        <f t="shared" si="47"/>
        <v>NT</v>
      </c>
      <c r="F1128" s="54">
        <v>50</v>
      </c>
      <c r="G1128" s="54" t="s">
        <v>512</v>
      </c>
      <c r="J1128" s="54" t="str">
        <f t="shared" si="49"/>
        <v>NT42</v>
      </c>
    </row>
    <row r="1129" spans="1:10" hidden="1">
      <c r="A1129" s="71" t="s">
        <v>622</v>
      </c>
      <c r="B1129" s="75"/>
      <c r="C1129" s="73" t="s">
        <v>3558</v>
      </c>
      <c r="D1129" s="72" t="s">
        <v>2555</v>
      </c>
      <c r="E1129" s="2008" t="str">
        <f t="shared" si="47"/>
        <v>BA</v>
      </c>
      <c r="F1129" s="54">
        <v>50</v>
      </c>
      <c r="G1129" s="54" t="s">
        <v>512</v>
      </c>
      <c r="J1129" s="54" t="str">
        <f t="shared" si="49"/>
        <v>BAKE6200</v>
      </c>
    </row>
    <row r="1130" spans="1:10" hidden="1">
      <c r="A1130" s="71" t="s">
        <v>880</v>
      </c>
      <c r="B1130" s="1658"/>
      <c r="C1130" s="1647" t="s">
        <v>3559</v>
      </c>
      <c r="D1130" s="72" t="s">
        <v>2555</v>
      </c>
      <c r="E1130" s="2008" t="str">
        <f t="shared" si="47"/>
        <v>BA</v>
      </c>
      <c r="F1130" s="54">
        <v>50</v>
      </c>
      <c r="G1130" s="54" t="s">
        <v>512</v>
      </c>
      <c r="J1130" s="54" t="str">
        <f t="shared" si="49"/>
        <v>BAKE</v>
      </c>
    </row>
    <row r="1131" spans="1:10" hidden="1">
      <c r="A1131" s="71" t="s">
        <v>1914</v>
      </c>
      <c r="B1131" s="1658"/>
      <c r="C1131" s="1647" t="s">
        <v>3560</v>
      </c>
      <c r="D1131" s="72" t="s">
        <v>2555</v>
      </c>
      <c r="E1131" s="2008" t="str">
        <f t="shared" si="47"/>
        <v>BA</v>
      </c>
      <c r="F1131" s="54">
        <v>50</v>
      </c>
      <c r="G1131" s="54" t="s">
        <v>512</v>
      </c>
      <c r="J1131" s="54" t="str">
        <f t="shared" si="49"/>
        <v>BAKEDKDT</v>
      </c>
    </row>
    <row r="1132" spans="1:10" hidden="1">
      <c r="A1132" s="71" t="s">
        <v>59</v>
      </c>
      <c r="B1132" s="1658"/>
      <c r="C1132" s="1647" t="s">
        <v>3561</v>
      </c>
      <c r="D1132" s="72" t="s">
        <v>2555</v>
      </c>
      <c r="E1132" s="2008" t="str">
        <f t="shared" ref="E1132:E1202" si="50">LEFT(A1132,2)</f>
        <v>BA</v>
      </c>
      <c r="F1132" s="54">
        <v>50</v>
      </c>
      <c r="G1132" s="54" t="s">
        <v>512</v>
      </c>
      <c r="J1132" s="54" t="str">
        <f t="shared" si="49"/>
        <v>BAKETu</v>
      </c>
    </row>
    <row r="1133" spans="1:10" hidden="1">
      <c r="A1133" s="71" t="s">
        <v>243</v>
      </c>
      <c r="B1133" s="1658"/>
      <c r="C1133" s="1647" t="s">
        <v>3562</v>
      </c>
      <c r="D1133" s="72" t="s">
        <v>2555</v>
      </c>
      <c r="E1133" s="2008" t="str">
        <f t="shared" si="50"/>
        <v>BA</v>
      </c>
      <c r="F1133" s="54">
        <v>50</v>
      </c>
      <c r="G1133" s="54" t="s">
        <v>512</v>
      </c>
      <c r="J1133" s="54" t="str">
        <f t="shared" si="49"/>
        <v>BANGG</v>
      </c>
    </row>
    <row r="1134" spans="1:10" hidden="1">
      <c r="A1134" s="71" t="s">
        <v>1597</v>
      </c>
      <c r="B1134" s="1658"/>
      <c r="C1134" s="1647" t="s">
        <v>3563</v>
      </c>
      <c r="D1134" s="72" t="s">
        <v>2555</v>
      </c>
      <c r="E1134" s="2008" t="str">
        <f t="shared" si="50"/>
        <v>BA</v>
      </c>
      <c r="F1134" s="54">
        <v>50</v>
      </c>
      <c r="G1134" s="54" t="s">
        <v>512</v>
      </c>
      <c r="J1134" s="54" t="str">
        <f t="shared" si="49"/>
        <v>BANGNHUA</v>
      </c>
    </row>
    <row r="1135" spans="1:10" hidden="1">
      <c r="A1135" s="71" t="s">
        <v>672</v>
      </c>
      <c r="B1135" s="1658"/>
      <c r="C1135" s="1647" t="s">
        <v>3564</v>
      </c>
      <c r="D1135" s="72" t="s">
        <v>3565</v>
      </c>
      <c r="E1135" s="2008" t="str">
        <f>LEFT(A1135,2)</f>
        <v>BA</v>
      </c>
      <c r="F1135" s="54">
        <v>50</v>
      </c>
      <c r="G1135" s="54" t="s">
        <v>512</v>
      </c>
      <c r="J1135" s="54" t="str">
        <f>A1135</f>
        <v>BANGKEO</v>
      </c>
    </row>
    <row r="1136" spans="1:10" hidden="1">
      <c r="A1136" s="71" t="s">
        <v>372</v>
      </c>
      <c r="B1136" s="1658"/>
      <c r="C1136" s="1647" t="s">
        <v>373</v>
      </c>
      <c r="D1136" s="72" t="s">
        <v>2555</v>
      </c>
      <c r="E1136" s="2008" t="str">
        <f t="shared" si="50"/>
        <v>BA</v>
      </c>
      <c r="F1136" s="54">
        <v>50</v>
      </c>
      <c r="G1136" s="54" t="s">
        <v>512</v>
      </c>
      <c r="J1136" s="54" t="str">
        <f t="shared" si="49"/>
        <v>BAKE16-200X200</v>
      </c>
    </row>
    <row r="1137" spans="1:10" hidden="1">
      <c r="A1137" s="71" t="s">
        <v>1179</v>
      </c>
      <c r="B1137" s="1661"/>
      <c r="C1137" s="1647" t="s">
        <v>3566</v>
      </c>
      <c r="D1137" s="72" t="s">
        <v>3567</v>
      </c>
      <c r="E1137" s="2008" t="str">
        <f t="shared" si="50"/>
        <v>KE</v>
      </c>
      <c r="F1137" s="54">
        <v>50</v>
      </c>
      <c r="G1137" s="54" t="s">
        <v>512</v>
      </c>
      <c r="J1137" s="54" t="str">
        <f t="shared" si="49"/>
        <v>KEOBIT</v>
      </c>
    </row>
    <row r="1138" spans="1:10" hidden="1">
      <c r="A1138" s="71" t="s">
        <v>1425</v>
      </c>
      <c r="B1138" s="1638"/>
      <c r="C1138" s="71" t="s">
        <v>3568</v>
      </c>
      <c r="D1138" s="72" t="s">
        <v>2248</v>
      </c>
      <c r="E1138" s="2008" t="str">
        <f t="shared" si="50"/>
        <v>KE</v>
      </c>
      <c r="F1138" s="54">
        <v>50</v>
      </c>
      <c r="G1138" s="54" t="s">
        <v>512</v>
      </c>
      <c r="J1138" s="54" t="str">
        <f t="shared" si="49"/>
        <v>KEM</v>
      </c>
    </row>
    <row r="1139" spans="1:10">
      <c r="A1139" s="71" t="s">
        <v>2036</v>
      </c>
      <c r="B1139" s="75"/>
      <c r="C1139" s="1647" t="s">
        <v>3569</v>
      </c>
      <c r="D1139" s="72" t="s">
        <v>3570</v>
      </c>
      <c r="E1139" s="2008" t="str">
        <f t="shared" si="50"/>
        <v>ke</v>
      </c>
      <c r="F1139" s="54">
        <v>50</v>
      </c>
      <c r="G1139" s="54" t="s">
        <v>512</v>
      </c>
      <c r="J1139" s="54" t="str">
        <f t="shared" si="49"/>
        <v>keodan</v>
      </c>
    </row>
    <row r="1140" spans="1:10" hidden="1">
      <c r="A1140" s="71" t="s">
        <v>726</v>
      </c>
      <c r="B1140" s="75"/>
      <c r="C1140" s="1647" t="s">
        <v>3571</v>
      </c>
      <c r="D1140" s="72" t="s">
        <v>388</v>
      </c>
      <c r="E1140" s="2008" t="str">
        <f t="shared" si="50"/>
        <v>KE</v>
      </c>
      <c r="F1140" s="54">
        <v>50</v>
      </c>
      <c r="G1140" s="54" t="s">
        <v>512</v>
      </c>
      <c r="J1140" s="54" t="str">
        <f t="shared" si="49"/>
        <v>KEO</v>
      </c>
    </row>
    <row r="1141" spans="1:10" hidden="1">
      <c r="A1141" s="71" t="s">
        <v>2120</v>
      </c>
      <c r="B1141" s="1661"/>
      <c r="C1141" s="1647" t="s">
        <v>3572</v>
      </c>
      <c r="D1141" s="72" t="s">
        <v>2555</v>
      </c>
      <c r="E1141" s="2008" t="str">
        <f t="shared" si="50"/>
        <v>KV</v>
      </c>
      <c r="F1141" s="54">
        <v>50</v>
      </c>
      <c r="G1141" s="54" t="s">
        <v>512</v>
      </c>
      <c r="J1141" s="54" t="str">
        <f t="shared" si="49"/>
        <v>KVRT42</v>
      </c>
    </row>
    <row r="1142" spans="1:10" hidden="1">
      <c r="A1142" s="71" t="s">
        <v>931</v>
      </c>
      <c r="B1142" s="1661"/>
      <c r="C1142" s="1647" t="s">
        <v>3573</v>
      </c>
      <c r="D1142" s="72" t="s">
        <v>2555</v>
      </c>
      <c r="E1142" s="2008" t="str">
        <f t="shared" si="50"/>
        <v>KV</v>
      </c>
      <c r="F1142" s="54">
        <v>50</v>
      </c>
      <c r="G1142" s="54" t="s">
        <v>512</v>
      </c>
      <c r="J1142" s="54" t="str">
        <f t="shared" si="49"/>
        <v>KVRT90</v>
      </c>
    </row>
    <row r="1143" spans="1:10" hidden="1">
      <c r="A1143" s="71" t="s">
        <v>1964</v>
      </c>
      <c r="B1143" s="1661"/>
      <c r="C1143" s="1647" t="s">
        <v>3574</v>
      </c>
      <c r="D1143" s="72" t="s">
        <v>2555</v>
      </c>
      <c r="E1143" s="2008" t="str">
        <f t="shared" si="50"/>
        <v>KV</v>
      </c>
      <c r="F1143" s="54">
        <v>50</v>
      </c>
      <c r="G1143" s="54" t="s">
        <v>512</v>
      </c>
      <c r="J1143" s="54" t="str">
        <f t="shared" si="49"/>
        <v>KVRT114</v>
      </c>
    </row>
    <row r="1144" spans="1:10" hidden="1">
      <c r="A1144" s="71" t="s">
        <v>1499</v>
      </c>
      <c r="B1144" s="1661"/>
      <c r="C1144" s="1647" t="s">
        <v>3575</v>
      </c>
      <c r="D1144" s="72" t="s">
        <v>2555</v>
      </c>
      <c r="E1144" s="2008" t="str">
        <f t="shared" si="50"/>
        <v>KV</v>
      </c>
      <c r="F1144" s="54">
        <v>50</v>
      </c>
      <c r="G1144" s="54" t="s">
        <v>512</v>
      </c>
      <c r="J1144" s="54" t="str">
        <f t="shared" si="49"/>
        <v>KVRT140</v>
      </c>
    </row>
    <row r="1145" spans="1:10" hidden="1">
      <c r="A1145" s="71" t="s">
        <v>959</v>
      </c>
      <c r="B1145" s="1661"/>
      <c r="C1145" s="1647" t="s">
        <v>3576</v>
      </c>
      <c r="D1145" s="72" t="s">
        <v>2555</v>
      </c>
      <c r="E1145" s="2008" t="str">
        <f t="shared" si="50"/>
        <v>KV</v>
      </c>
      <c r="F1145" s="54">
        <v>50</v>
      </c>
      <c r="G1145" s="54" t="s">
        <v>512</v>
      </c>
      <c r="J1145" s="54" t="str">
        <f t="shared" si="49"/>
        <v>KVRN42</v>
      </c>
    </row>
    <row r="1146" spans="1:10" hidden="1">
      <c r="A1146" s="71" t="s">
        <v>930</v>
      </c>
      <c r="B1146" s="1661"/>
      <c r="C1146" s="1647" t="s">
        <v>3577</v>
      </c>
      <c r="D1146" s="72" t="s">
        <v>2555</v>
      </c>
      <c r="E1146" s="2008" t="str">
        <f t="shared" si="50"/>
        <v>KV</v>
      </c>
      <c r="F1146" s="54">
        <v>50</v>
      </c>
      <c r="G1146" s="54" t="s">
        <v>512</v>
      </c>
      <c r="J1146" s="54" t="str">
        <f t="shared" si="49"/>
        <v>KVRN90</v>
      </c>
    </row>
    <row r="1147" spans="1:10" hidden="1">
      <c r="A1147" s="71" t="s">
        <v>1965</v>
      </c>
      <c r="B1147" s="1661"/>
      <c r="C1147" s="1647" t="s">
        <v>3578</v>
      </c>
      <c r="D1147" s="72" t="s">
        <v>2555</v>
      </c>
      <c r="E1147" s="2008" t="str">
        <f t="shared" si="50"/>
        <v>KV</v>
      </c>
      <c r="F1147" s="54">
        <v>50</v>
      </c>
      <c r="G1147" s="54" t="s">
        <v>512</v>
      </c>
      <c r="J1147" s="54" t="str">
        <f t="shared" si="49"/>
        <v>KVRN114</v>
      </c>
    </row>
    <row r="1148" spans="1:10" hidden="1">
      <c r="A1148" s="71" t="s">
        <v>1884</v>
      </c>
      <c r="B1148" s="1661"/>
      <c r="C1148" s="1647" t="s">
        <v>3579</v>
      </c>
      <c r="D1148" s="72" t="s">
        <v>2555</v>
      </c>
      <c r="E1148" s="2008" t="str">
        <f t="shared" si="50"/>
        <v>KV</v>
      </c>
      <c r="F1148" s="54">
        <v>50</v>
      </c>
      <c r="G1148" s="54" t="s">
        <v>512</v>
      </c>
      <c r="J1148" s="54" t="str">
        <f t="shared" si="49"/>
        <v>KVRN140</v>
      </c>
    </row>
    <row r="1149" spans="1:10" hidden="1">
      <c r="A1149" s="71" t="s">
        <v>1036</v>
      </c>
      <c r="B1149" s="1662" t="s">
        <v>1455</v>
      </c>
      <c r="C1149" s="1647" t="s">
        <v>4731</v>
      </c>
      <c r="D1149" s="72" t="s">
        <v>2555</v>
      </c>
      <c r="E1149" s="2008" t="str">
        <f t="shared" si="50"/>
        <v>OX</v>
      </c>
      <c r="F1149" s="54">
        <v>50</v>
      </c>
      <c r="G1149" s="54" t="s">
        <v>512</v>
      </c>
      <c r="J1149" s="54" t="str">
        <f t="shared" si="49"/>
        <v>OXC1/0</v>
      </c>
    </row>
    <row r="1150" spans="1:10" hidden="1">
      <c r="A1150" s="71" t="s">
        <v>1037</v>
      </c>
      <c r="B1150" s="1662" t="s">
        <v>1455</v>
      </c>
      <c r="C1150" s="1647" t="s">
        <v>4732</v>
      </c>
      <c r="D1150" s="72" t="s">
        <v>2555</v>
      </c>
      <c r="E1150" s="2008" t="str">
        <f t="shared" si="50"/>
        <v>OX</v>
      </c>
      <c r="F1150" s="54">
        <v>50</v>
      </c>
      <c r="G1150" s="54" t="s">
        <v>512</v>
      </c>
      <c r="J1150" s="54" t="str">
        <f t="shared" si="49"/>
        <v>OXC2/0</v>
      </c>
    </row>
    <row r="1151" spans="1:10" hidden="1">
      <c r="A1151" s="71" t="s">
        <v>2121</v>
      </c>
      <c r="B1151" s="1662" t="s">
        <v>1455</v>
      </c>
      <c r="C1151" s="1647" t="s">
        <v>4733</v>
      </c>
      <c r="D1151" s="72" t="s">
        <v>2555</v>
      </c>
      <c r="E1151" s="2008" t="str">
        <f t="shared" si="50"/>
        <v>OX</v>
      </c>
      <c r="F1151" s="54">
        <v>50</v>
      </c>
      <c r="G1151" s="54" t="s">
        <v>512</v>
      </c>
      <c r="J1151" s="54" t="str">
        <f t="shared" si="49"/>
        <v>OXCth</v>
      </c>
    </row>
    <row r="1152" spans="1:10" hidden="1">
      <c r="A1152" s="71" t="s">
        <v>1470</v>
      </c>
      <c r="B1152" s="1662" t="s">
        <v>1455</v>
      </c>
      <c r="C1152" s="1647" t="s">
        <v>4734</v>
      </c>
      <c r="D1152" s="72" t="s">
        <v>2555</v>
      </c>
      <c r="E1152" s="2008" t="str">
        <f t="shared" si="50"/>
        <v>OX</v>
      </c>
      <c r="F1152" s="54">
        <v>50</v>
      </c>
      <c r="G1152" s="54" t="s">
        <v>512</v>
      </c>
      <c r="J1152" s="54" t="str">
        <f t="shared" si="49"/>
        <v>OXC11</v>
      </c>
    </row>
    <row r="1153" spans="1:10" hidden="1">
      <c r="A1153" s="71" t="s">
        <v>2256</v>
      </c>
      <c r="B1153" s="1662" t="s">
        <v>1455</v>
      </c>
      <c r="C1153" s="1647" t="s">
        <v>4735</v>
      </c>
      <c r="D1153" s="72" t="s">
        <v>2555</v>
      </c>
      <c r="E1153" s="2008" t="str">
        <f t="shared" si="50"/>
        <v>OX</v>
      </c>
      <c r="F1153" s="54">
        <v>50</v>
      </c>
      <c r="G1153" s="54" t="s">
        <v>512</v>
      </c>
      <c r="J1153" s="54" t="str">
        <f t="shared" si="49"/>
        <v>OXC22</v>
      </c>
    </row>
    <row r="1154" spans="1:10" hidden="1">
      <c r="A1154" s="71" t="s">
        <v>1062</v>
      </c>
      <c r="B1154" s="1658" t="s">
        <v>1455</v>
      </c>
      <c r="C1154" s="71" t="s">
        <v>4736</v>
      </c>
      <c r="D1154" s="72" t="s">
        <v>2555</v>
      </c>
      <c r="E1154" s="2008" t="str">
        <f t="shared" si="50"/>
        <v>OX</v>
      </c>
      <c r="F1154" s="54">
        <v>50</v>
      </c>
      <c r="G1154" s="54" t="s">
        <v>512</v>
      </c>
      <c r="J1154" s="54" t="str">
        <f t="shared" si="49"/>
        <v>OXC25</v>
      </c>
    </row>
    <row r="1155" spans="1:10" hidden="1">
      <c r="A1155" s="71" t="s">
        <v>1063</v>
      </c>
      <c r="B1155" s="1662" t="s">
        <v>1455</v>
      </c>
      <c r="C1155" s="1647" t="s">
        <v>4737</v>
      </c>
      <c r="D1155" s="72" t="s">
        <v>2555</v>
      </c>
      <c r="E1155" s="2008" t="str">
        <f t="shared" si="50"/>
        <v>OX</v>
      </c>
      <c r="F1155" s="54">
        <v>50</v>
      </c>
      <c r="G1155" s="54" t="s">
        <v>512</v>
      </c>
      <c r="J1155" s="54" t="str">
        <f t="shared" si="49"/>
        <v>OXC38</v>
      </c>
    </row>
    <row r="1156" spans="1:10" hidden="1">
      <c r="A1156" s="71" t="s">
        <v>1469</v>
      </c>
      <c r="B1156" s="1662" t="s">
        <v>1455</v>
      </c>
      <c r="C1156" s="1647" t="s">
        <v>4738</v>
      </c>
      <c r="D1156" s="72" t="s">
        <v>2555</v>
      </c>
      <c r="E1156" s="2008" t="str">
        <f t="shared" si="50"/>
        <v>OX</v>
      </c>
      <c r="F1156" s="54">
        <v>50</v>
      </c>
      <c r="G1156" s="54" t="s">
        <v>512</v>
      </c>
      <c r="J1156" s="54" t="str">
        <f t="shared" si="49"/>
        <v>OXC50</v>
      </c>
    </row>
    <row r="1157" spans="1:10" hidden="1">
      <c r="A1157" s="71" t="s">
        <v>1620</v>
      </c>
      <c r="B1157" s="1662" t="s">
        <v>1455</v>
      </c>
      <c r="C1157" s="1647" t="s">
        <v>4739</v>
      </c>
      <c r="D1157" s="72" t="s">
        <v>2555</v>
      </c>
      <c r="E1157" s="2008" t="str">
        <f t="shared" si="50"/>
        <v>OX</v>
      </c>
      <c r="F1157" s="54">
        <v>50</v>
      </c>
      <c r="G1157" s="54" t="s">
        <v>512</v>
      </c>
      <c r="J1157" s="54" t="str">
        <f t="shared" si="49"/>
        <v>OXC70</v>
      </c>
    </row>
    <row r="1158" spans="1:10" hidden="1">
      <c r="A1158" s="71" t="s">
        <v>687</v>
      </c>
      <c r="B1158" s="1662" t="s">
        <v>1455</v>
      </c>
      <c r="C1158" s="1647" t="s">
        <v>4740</v>
      </c>
      <c r="D1158" s="72" t="s">
        <v>2555</v>
      </c>
      <c r="E1158" s="2008" t="str">
        <f t="shared" si="50"/>
        <v>OX</v>
      </c>
      <c r="F1158" s="54">
        <v>50</v>
      </c>
      <c r="G1158" s="54" t="s">
        <v>512</v>
      </c>
      <c r="J1158" s="54" t="str">
        <f t="shared" si="49"/>
        <v>OXC95</v>
      </c>
    </row>
    <row r="1159" spans="1:10" hidden="1">
      <c r="A1159" s="71" t="s">
        <v>625</v>
      </c>
      <c r="B1159" s="1662" t="s">
        <v>1455</v>
      </c>
      <c r="C1159" s="1647" t="s">
        <v>4741</v>
      </c>
      <c r="D1159" s="72" t="s">
        <v>2555</v>
      </c>
      <c r="E1159" s="2008" t="str">
        <f t="shared" si="50"/>
        <v>OX</v>
      </c>
      <c r="F1159" s="54">
        <v>50</v>
      </c>
      <c r="G1159" s="54" t="s">
        <v>512</v>
      </c>
      <c r="J1159" s="54" t="str">
        <f t="shared" si="49"/>
        <v>OXC120</v>
      </c>
    </row>
    <row r="1160" spans="1:10" hidden="1">
      <c r="A1160" s="71" t="s">
        <v>1096</v>
      </c>
      <c r="B1160" s="1658" t="s">
        <v>1455</v>
      </c>
      <c r="C1160" s="71" t="s">
        <v>4742</v>
      </c>
      <c r="D1160" s="72" t="s">
        <v>2555</v>
      </c>
      <c r="E1160" s="2008" t="str">
        <f t="shared" si="50"/>
        <v>OX</v>
      </c>
      <c r="F1160" s="54">
        <v>50</v>
      </c>
      <c r="G1160" s="54" t="s">
        <v>512</v>
      </c>
      <c r="J1160" s="54" t="str">
        <f t="shared" si="49"/>
        <v>OXC150</v>
      </c>
    </row>
    <row r="1161" spans="1:10" hidden="1">
      <c r="A1161" s="71" t="s">
        <v>2108</v>
      </c>
      <c r="B1161" s="1658" t="s">
        <v>1455</v>
      </c>
      <c r="C1161" s="71" t="s">
        <v>4743</v>
      </c>
      <c r="D1161" s="72" t="s">
        <v>2555</v>
      </c>
      <c r="E1161" s="2008" t="str">
        <f t="shared" si="50"/>
        <v>OX</v>
      </c>
      <c r="F1161" s="54">
        <v>50</v>
      </c>
      <c r="G1161" s="54" t="s">
        <v>512</v>
      </c>
      <c r="J1161" s="54" t="str">
        <f t="shared" si="49"/>
        <v>OXC185</v>
      </c>
    </row>
    <row r="1162" spans="1:10" hidden="1">
      <c r="A1162" s="71" t="s">
        <v>487</v>
      </c>
      <c r="B1162" s="1658" t="s">
        <v>1455</v>
      </c>
      <c r="C1162" s="71" t="s">
        <v>4744</v>
      </c>
      <c r="D1162" s="72" t="s">
        <v>2555</v>
      </c>
      <c r="E1162" s="2008" t="str">
        <f t="shared" si="50"/>
        <v>OX</v>
      </c>
      <c r="F1162" s="54">
        <v>50</v>
      </c>
      <c r="G1162" s="54" t="s">
        <v>512</v>
      </c>
      <c r="J1162" s="54" t="str">
        <f t="shared" si="49"/>
        <v>OXC240</v>
      </c>
    </row>
    <row r="1163" spans="1:10" hidden="1">
      <c r="A1163" s="71" t="s">
        <v>2077</v>
      </c>
      <c r="B1163" s="75"/>
      <c r="C1163" s="1647" t="s">
        <v>3581</v>
      </c>
      <c r="D1163" s="72" t="s">
        <v>2555</v>
      </c>
      <c r="E1163" s="2008" t="str">
        <f t="shared" si="50"/>
        <v>KH</v>
      </c>
      <c r="F1163" s="54">
        <v>50</v>
      </c>
      <c r="G1163" s="54" t="s">
        <v>512</v>
      </c>
      <c r="J1163" s="54" t="str">
        <f t="shared" si="49"/>
        <v>KHOA</v>
      </c>
    </row>
    <row r="1164" spans="1:10" hidden="1">
      <c r="A1164" s="71" t="s">
        <v>438</v>
      </c>
      <c r="B1164" s="72"/>
      <c r="C1164" s="1646" t="s">
        <v>3582</v>
      </c>
      <c r="D1164" s="72" t="s">
        <v>856</v>
      </c>
      <c r="E1164" s="2008" t="str">
        <f t="shared" si="50"/>
        <v>ox</v>
      </c>
      <c r="F1164" s="54">
        <v>50</v>
      </c>
      <c r="G1164" s="54" t="s">
        <v>512</v>
      </c>
      <c r="J1164" s="54" t="str">
        <f t="shared" si="49"/>
        <v>oxy</v>
      </c>
    </row>
    <row r="1165" spans="1:10" hidden="1">
      <c r="A1165" s="71" t="s">
        <v>870</v>
      </c>
      <c r="B1165" s="72" t="s">
        <v>215</v>
      </c>
      <c r="C1165" s="73" t="s">
        <v>3583</v>
      </c>
      <c r="D1165" s="72" t="s">
        <v>3584</v>
      </c>
      <c r="E1165" s="2008" t="str">
        <f t="shared" si="50"/>
        <v>LC</v>
      </c>
      <c r="F1165" s="54">
        <v>50</v>
      </c>
      <c r="J1165" s="54" t="str">
        <f t="shared" si="49"/>
        <v>LCbh9</v>
      </c>
    </row>
    <row r="1166" spans="1:10" hidden="1">
      <c r="A1166" s="71" t="s">
        <v>1639</v>
      </c>
      <c r="B1166" s="72" t="s">
        <v>2092</v>
      </c>
      <c r="C1166" s="73" t="s">
        <v>3585</v>
      </c>
      <c r="D1166" s="72" t="s">
        <v>3584</v>
      </c>
      <c r="E1166" s="2008" t="str">
        <f t="shared" si="50"/>
        <v>LB</v>
      </c>
      <c r="F1166" s="54">
        <v>50</v>
      </c>
      <c r="J1166" s="54" t="str">
        <f t="shared" si="49"/>
        <v>LBbh</v>
      </c>
    </row>
    <row r="1167" spans="1:10" hidden="1">
      <c r="A1167" s="71" t="s">
        <v>403</v>
      </c>
      <c r="B1167" s="72"/>
      <c r="C1167" s="73" t="s">
        <v>3586</v>
      </c>
      <c r="D1167" s="72" t="s">
        <v>3369</v>
      </c>
      <c r="E1167" s="2008" t="str">
        <f t="shared" si="50"/>
        <v>LT</v>
      </c>
      <c r="F1167" s="54">
        <v>50</v>
      </c>
      <c r="J1167" s="54" t="str">
        <f t="shared" si="49"/>
        <v>LTC</v>
      </c>
    </row>
    <row r="1168" spans="1:10" hidden="1">
      <c r="A1168" s="71" t="s">
        <v>1640</v>
      </c>
      <c r="B1168" s="1658" t="s">
        <v>1147</v>
      </c>
      <c r="C1168" s="73" t="s">
        <v>3587</v>
      </c>
      <c r="D1168" s="72" t="s">
        <v>1960</v>
      </c>
      <c r="E1168" s="2008" t="str">
        <f t="shared" si="50"/>
        <v>So</v>
      </c>
      <c r="F1168" s="54">
        <v>50</v>
      </c>
      <c r="J1168" s="54" t="str">
        <f t="shared" ref="J1168:J1231" si="51">A1168</f>
        <v>SonCBH</v>
      </c>
    </row>
    <row r="1169" spans="1:10" hidden="1">
      <c r="A1169" s="71" t="s">
        <v>311</v>
      </c>
      <c r="B1169" s="1658" t="s">
        <v>1147</v>
      </c>
      <c r="C1169" s="73" t="s">
        <v>3588</v>
      </c>
      <c r="D1169" s="72" t="s">
        <v>1960</v>
      </c>
      <c r="E1169" s="2008" t="str">
        <f t="shared" si="50"/>
        <v>So</v>
      </c>
      <c r="F1169" s="54">
        <v>50</v>
      </c>
      <c r="J1169" s="54" t="str">
        <f t="shared" si="51"/>
        <v>SonBBH</v>
      </c>
    </row>
    <row r="1170" spans="1:10" hidden="1">
      <c r="A1170" s="71" t="s">
        <v>1641</v>
      </c>
      <c r="B1170" s="1657" t="s">
        <v>1148</v>
      </c>
      <c r="C1170" s="73" t="s">
        <v>3589</v>
      </c>
      <c r="D1170" s="72" t="s">
        <v>3584</v>
      </c>
      <c r="E1170" s="2008" t="str">
        <f t="shared" si="50"/>
        <v>VC</v>
      </c>
      <c r="F1170" s="54">
        <v>2000</v>
      </c>
      <c r="J1170" s="54" t="str">
        <f t="shared" si="51"/>
        <v>VCT</v>
      </c>
    </row>
    <row r="1171" spans="1:10" hidden="1">
      <c r="A1171" s="71" t="s">
        <v>1136</v>
      </c>
      <c r="B1171" s="1657" t="s">
        <v>692</v>
      </c>
      <c r="C1171" s="73" t="s">
        <v>4455</v>
      </c>
      <c r="D1171" s="72" t="s">
        <v>2555</v>
      </c>
      <c r="E1171" s="2008" t="str">
        <f t="shared" si="50"/>
        <v>U1</v>
      </c>
      <c r="F1171" s="54">
        <v>50</v>
      </c>
      <c r="G1171" s="54" t="s">
        <v>512</v>
      </c>
      <c r="J1171" s="54" t="str">
        <f t="shared" si="51"/>
        <v>U16-280</v>
      </c>
    </row>
    <row r="1172" spans="1:10" hidden="1">
      <c r="A1172" s="71" t="s">
        <v>1408</v>
      </c>
      <c r="B1172" s="1657" t="s">
        <v>692</v>
      </c>
      <c r="C1172" s="73" t="s">
        <v>4456</v>
      </c>
      <c r="D1172" s="72" t="s">
        <v>2555</v>
      </c>
      <c r="E1172" s="2008" t="str">
        <f t="shared" si="50"/>
        <v>U2</v>
      </c>
      <c r="F1172" s="54">
        <v>50</v>
      </c>
      <c r="G1172" s="54" t="s">
        <v>512</v>
      </c>
      <c r="J1172" s="54" t="str">
        <f t="shared" si="51"/>
        <v>U20-280</v>
      </c>
    </row>
    <row r="1173" spans="1:10">
      <c r="A1173" s="71" t="s">
        <v>1138</v>
      </c>
      <c r="B1173" s="1657" t="s">
        <v>691</v>
      </c>
      <c r="C1173" s="73" t="s">
        <v>3590</v>
      </c>
      <c r="D1173" s="72" t="s">
        <v>2555</v>
      </c>
      <c r="E1173" s="2008" t="str">
        <f t="shared" si="50"/>
        <v>U1</v>
      </c>
      <c r="F1173" s="54">
        <v>50</v>
      </c>
      <c r="G1173" s="54" t="s">
        <v>512</v>
      </c>
      <c r="J1173" s="54" t="str">
        <f t="shared" si="51"/>
        <v>U1008</v>
      </c>
    </row>
    <row r="1174" spans="1:10" hidden="1">
      <c r="A1174" s="71" t="s">
        <v>1426</v>
      </c>
      <c r="B1174" s="1657" t="s">
        <v>2150</v>
      </c>
      <c r="C1174" s="73" t="s">
        <v>3591</v>
      </c>
      <c r="D1174" s="72" t="s">
        <v>2248</v>
      </c>
      <c r="E1174" s="2008" t="str">
        <f t="shared" si="50"/>
        <v>U8</v>
      </c>
      <c r="F1174" s="54">
        <v>50</v>
      </c>
      <c r="G1174" s="54" t="s">
        <v>512</v>
      </c>
      <c r="J1174" s="54" t="str">
        <f t="shared" si="51"/>
        <v>U8034</v>
      </c>
    </row>
    <row r="1175" spans="1:10">
      <c r="A1175" s="71" t="s">
        <v>1137</v>
      </c>
      <c r="B1175" s="1657" t="s">
        <v>691</v>
      </c>
      <c r="C1175" s="73" t="s">
        <v>3592</v>
      </c>
      <c r="D1175" s="72" t="s">
        <v>2555</v>
      </c>
      <c r="E1175" s="2008" t="str">
        <f t="shared" si="50"/>
        <v>U1</v>
      </c>
      <c r="F1175" s="54">
        <v>50</v>
      </c>
      <c r="G1175" s="54" t="s">
        <v>512</v>
      </c>
      <c r="J1175" s="54" t="str">
        <f t="shared" si="51"/>
        <v>U1004</v>
      </c>
    </row>
    <row r="1176" spans="1:10">
      <c r="A1176" s="2006" t="str">
        <f>"U100-"&amp;H1176</f>
        <v>U100-500</v>
      </c>
      <c r="B1176" s="2009"/>
      <c r="C1176" s="2010" t="str">
        <f>"Đà U100x46x4.5x"&amp;H1176</f>
        <v>Đà U100x46x4.5x500</v>
      </c>
      <c r="D1176" s="72" t="s">
        <v>2555</v>
      </c>
      <c r="E1176" s="2008" t="str">
        <f t="shared" ref="E1176:E1181" si="52">LEFT(A1176,2)</f>
        <v>U1</v>
      </c>
      <c r="F1176" s="54">
        <v>50</v>
      </c>
      <c r="G1176" s="54" t="s">
        <v>512</v>
      </c>
      <c r="H1176" s="54">
        <v>500</v>
      </c>
      <c r="J1176" s="54" t="str">
        <f t="shared" si="51"/>
        <v>U100-500</v>
      </c>
    </row>
    <row r="1177" spans="1:10">
      <c r="A1177" s="2006" t="str">
        <f>"U100-"&amp;H1177</f>
        <v>U100-700</v>
      </c>
      <c r="B1177" s="2009"/>
      <c r="C1177" s="2010" t="str">
        <f>"Đà U100x46x4.5x"&amp;H1177</f>
        <v>Đà U100x46x4.5x700</v>
      </c>
      <c r="D1177" s="72" t="s">
        <v>2555</v>
      </c>
      <c r="E1177" s="2008" t="str">
        <f t="shared" si="52"/>
        <v>U1</v>
      </c>
      <c r="F1177" s="54">
        <v>50</v>
      </c>
      <c r="G1177" s="54" t="s">
        <v>512</v>
      </c>
      <c r="H1177" s="54">
        <v>700</v>
      </c>
      <c r="J1177" s="54" t="str">
        <f t="shared" si="51"/>
        <v>U100-700</v>
      </c>
    </row>
    <row r="1178" spans="1:10">
      <c r="A1178" s="2006" t="str">
        <f>"U160-"&amp;H1178</f>
        <v>U160-740</v>
      </c>
      <c r="B1178" s="2009"/>
      <c r="C1178" s="2010" t="str">
        <f>"Đà U100x68x5x"&amp;H1178</f>
        <v>Đà U100x68x5x740</v>
      </c>
      <c r="D1178" s="72" t="s">
        <v>2555</v>
      </c>
      <c r="E1178" s="2008" t="str">
        <f t="shared" si="52"/>
        <v>U1</v>
      </c>
      <c r="F1178" s="54">
        <v>50</v>
      </c>
      <c r="G1178" s="54" t="s">
        <v>512</v>
      </c>
      <c r="H1178" s="54">
        <v>740</v>
      </c>
      <c r="J1178" s="54" t="str">
        <f t="shared" si="51"/>
        <v>U160-740</v>
      </c>
    </row>
    <row r="1179" spans="1:10">
      <c r="A1179" s="2006" t="str">
        <f>"U160-"&amp;H1179</f>
        <v>U160-1100</v>
      </c>
      <c r="B1179" s="2009"/>
      <c r="C1179" s="2010" t="str">
        <f>"Đà U100x68x5x"&amp;H1179</f>
        <v>Đà U100x68x5x1100</v>
      </c>
      <c r="D1179" s="72" t="s">
        <v>2555</v>
      </c>
      <c r="E1179" s="2008" t="str">
        <f t="shared" si="52"/>
        <v>U1</v>
      </c>
      <c r="F1179" s="54">
        <v>50</v>
      </c>
      <c r="G1179" s="54" t="s">
        <v>512</v>
      </c>
      <c r="H1179" s="54">
        <v>1100</v>
      </c>
      <c r="J1179" s="54" t="str">
        <f t="shared" si="51"/>
        <v>U160-1100</v>
      </c>
    </row>
    <row r="1180" spans="1:10">
      <c r="A1180" s="2006" t="str">
        <f>"U160-"&amp;H1180</f>
        <v>U160-1449</v>
      </c>
      <c r="B1180" s="2009"/>
      <c r="C1180" s="2010" t="str">
        <f>"Đà U100x68x5x"&amp;H1180</f>
        <v>Đà U100x68x5x1449</v>
      </c>
      <c r="D1180" s="72" t="s">
        <v>2555</v>
      </c>
      <c r="E1180" s="2008" t="str">
        <f t="shared" si="52"/>
        <v>U1</v>
      </c>
      <c r="F1180" s="54">
        <v>50</v>
      </c>
      <c r="G1180" s="54" t="s">
        <v>512</v>
      </c>
      <c r="H1180" s="54">
        <v>1449</v>
      </c>
      <c r="J1180" s="54" t="str">
        <f t="shared" si="51"/>
        <v>U160-1449</v>
      </c>
    </row>
    <row r="1181" spans="1:10">
      <c r="A1181" s="2006" t="str">
        <f>"U160-"&amp;H1181</f>
        <v>U160-1700</v>
      </c>
      <c r="B1181" s="2009"/>
      <c r="C1181" s="2010" t="str">
        <f>"Đà U100x68x5x"&amp;H1181</f>
        <v>Đà U100x68x5x1700</v>
      </c>
      <c r="D1181" s="72" t="s">
        <v>2555</v>
      </c>
      <c r="E1181" s="2008" t="str">
        <f t="shared" si="52"/>
        <v>U1</v>
      </c>
      <c r="F1181" s="54">
        <v>50</v>
      </c>
      <c r="G1181" s="54" t="s">
        <v>512</v>
      </c>
      <c r="H1181" s="54">
        <v>1700</v>
      </c>
      <c r="J1181" s="54" t="str">
        <f t="shared" si="51"/>
        <v>U160-1700</v>
      </c>
    </row>
    <row r="1182" spans="1:10">
      <c r="A1182" s="2006" t="str">
        <f>"U160-"&amp;H1182</f>
        <v>U160-2100</v>
      </c>
      <c r="B1182" s="2009"/>
      <c r="C1182" s="2010" t="str">
        <f>"Đà U100x68x5x"&amp;H1182</f>
        <v>Đà U100x68x5x2100</v>
      </c>
      <c r="D1182" s="72" t="s">
        <v>2555</v>
      </c>
      <c r="E1182" s="2008" t="str">
        <f>LEFT(A1182,2)</f>
        <v>U1</v>
      </c>
      <c r="F1182" s="54">
        <v>50</v>
      </c>
      <c r="G1182" s="54" t="s">
        <v>512</v>
      </c>
      <c r="H1182" s="54">
        <v>2100</v>
      </c>
      <c r="J1182" s="54" t="str">
        <f t="shared" si="51"/>
        <v>U160-2100</v>
      </c>
    </row>
    <row r="1183" spans="1:10" hidden="1">
      <c r="A1183" s="71" t="s">
        <v>1003</v>
      </c>
      <c r="B1183" s="1657" t="s">
        <v>691</v>
      </c>
      <c r="C1183" s="73" t="s">
        <v>3593</v>
      </c>
      <c r="D1183" s="72" t="s">
        <v>2385</v>
      </c>
      <c r="E1183" s="2008" t="str">
        <f t="shared" si="50"/>
        <v>XA</v>
      </c>
      <c r="F1183" s="54">
        <v>50</v>
      </c>
      <c r="G1183" s="54" t="s">
        <v>512</v>
      </c>
      <c r="J1183" s="54" t="str">
        <f t="shared" si="51"/>
        <v>XATUTI</v>
      </c>
    </row>
    <row r="1184" spans="1:10">
      <c r="A1184" s="71" t="s">
        <v>199</v>
      </c>
      <c r="B1184" s="72"/>
      <c r="C1184" s="73" t="s">
        <v>3594</v>
      </c>
      <c r="D1184" s="72" t="s">
        <v>2385</v>
      </c>
      <c r="E1184" s="2008" t="str">
        <f t="shared" si="50"/>
        <v>AK</v>
      </c>
      <c r="F1184" s="54">
        <v>50</v>
      </c>
      <c r="G1184" s="54" t="s">
        <v>512</v>
      </c>
      <c r="J1184" s="54" t="str">
        <f t="shared" si="51"/>
        <v>AK1</v>
      </c>
    </row>
    <row r="1185" spans="1:10" hidden="1">
      <c r="A1185" s="71" t="s">
        <v>200</v>
      </c>
      <c r="B1185" s="72"/>
      <c r="C1185" s="73" t="s">
        <v>3595</v>
      </c>
      <c r="D1185" s="72" t="s">
        <v>2385</v>
      </c>
      <c r="E1185" s="2008" t="str">
        <f t="shared" si="50"/>
        <v>VK</v>
      </c>
      <c r="F1185" s="54">
        <v>50</v>
      </c>
      <c r="G1185" s="54" t="s">
        <v>512</v>
      </c>
      <c r="J1185" s="54" t="str">
        <f t="shared" si="51"/>
        <v>VK1</v>
      </c>
    </row>
    <row r="1186" spans="1:10" hidden="1">
      <c r="A1186" s="71" t="s">
        <v>2090</v>
      </c>
      <c r="B1186" s="72"/>
      <c r="C1186" s="73" t="s">
        <v>3596</v>
      </c>
      <c r="D1186" s="72" t="s">
        <v>2385</v>
      </c>
      <c r="E1186" s="2008" t="str">
        <f t="shared" si="50"/>
        <v>AV</v>
      </c>
      <c r="F1186" s="54">
        <v>50</v>
      </c>
      <c r="G1186" s="54" t="s">
        <v>512</v>
      </c>
      <c r="J1186" s="54" t="str">
        <f t="shared" si="51"/>
        <v>AVK1</v>
      </c>
    </row>
    <row r="1187" spans="1:10" hidden="1">
      <c r="A1187" s="71" t="s">
        <v>2181</v>
      </c>
      <c r="B1187" s="72"/>
      <c r="C1187" s="73" t="s">
        <v>3597</v>
      </c>
      <c r="D1187" s="72" t="s">
        <v>2385</v>
      </c>
      <c r="E1187" s="2008" t="str">
        <f t="shared" si="50"/>
        <v>AV</v>
      </c>
      <c r="F1187" s="54">
        <v>50</v>
      </c>
      <c r="G1187" s="54" t="s">
        <v>512</v>
      </c>
      <c r="J1187" s="54" t="str">
        <f t="shared" si="51"/>
        <v>AVK3</v>
      </c>
    </row>
    <row r="1188" spans="1:10" hidden="1">
      <c r="A1188" s="71" t="s">
        <v>1564</v>
      </c>
      <c r="B1188" s="72"/>
      <c r="C1188" s="1646" t="s">
        <v>3598</v>
      </c>
      <c r="D1188" s="72" t="s">
        <v>856</v>
      </c>
      <c r="E1188" s="2008" t="str">
        <f t="shared" si="50"/>
        <v>ax</v>
      </c>
      <c r="F1188" s="54">
        <v>50</v>
      </c>
      <c r="G1188" s="54" t="s">
        <v>512</v>
      </c>
      <c r="J1188" s="54" t="str">
        <f t="shared" si="51"/>
        <v>axetylen</v>
      </c>
    </row>
    <row r="1189" spans="1:10" hidden="1">
      <c r="A1189" s="1663" t="s">
        <v>899</v>
      </c>
      <c r="B1189" s="1658"/>
      <c r="C1189" s="71" t="s">
        <v>3599</v>
      </c>
      <c r="D1189" s="72" t="s">
        <v>2555</v>
      </c>
      <c r="E1189" s="2008" t="str">
        <f t="shared" si="50"/>
        <v>GI</v>
      </c>
      <c r="F1189" s="54">
        <v>50</v>
      </c>
      <c r="G1189" s="54" t="s">
        <v>512</v>
      </c>
      <c r="J1189" s="54" t="str">
        <f t="shared" si="51"/>
        <v>GIP11-11</v>
      </c>
    </row>
    <row r="1190" spans="1:10" hidden="1">
      <c r="A1190" s="1663" t="s">
        <v>2214</v>
      </c>
      <c r="B1190" s="1658"/>
      <c r="C1190" s="71" t="s">
        <v>3600</v>
      </c>
      <c r="D1190" s="72" t="s">
        <v>2555</v>
      </c>
      <c r="E1190" s="2008" t="str">
        <f t="shared" si="50"/>
        <v>GI</v>
      </c>
      <c r="F1190" s="54">
        <v>50</v>
      </c>
      <c r="G1190" s="54" t="s">
        <v>512</v>
      </c>
      <c r="J1190" s="54" t="str">
        <f t="shared" si="51"/>
        <v>GIP22-11</v>
      </c>
    </row>
    <row r="1191" spans="1:10" hidden="1">
      <c r="A1191" s="1663" t="s">
        <v>2213</v>
      </c>
      <c r="B1191" s="1658"/>
      <c r="C1191" s="71" t="s">
        <v>3601</v>
      </c>
      <c r="D1191" s="72" t="s">
        <v>2555</v>
      </c>
      <c r="E1191" s="2008" t="str">
        <f t="shared" si="50"/>
        <v>GI</v>
      </c>
      <c r="F1191" s="54">
        <v>50</v>
      </c>
      <c r="G1191" s="54" t="s">
        <v>512</v>
      </c>
      <c r="J1191" s="54" t="str">
        <f t="shared" si="51"/>
        <v>GIP22-22</v>
      </c>
    </row>
    <row r="1192" spans="1:10" hidden="1">
      <c r="A1192" s="1663" t="s">
        <v>1066</v>
      </c>
      <c r="B1192" s="1658"/>
      <c r="C1192" s="71" t="s">
        <v>3602</v>
      </c>
      <c r="D1192" s="72" t="s">
        <v>2555</v>
      </c>
      <c r="E1192" s="2008" t="str">
        <f t="shared" si="50"/>
        <v>GI</v>
      </c>
      <c r="F1192" s="54">
        <v>50</v>
      </c>
      <c r="G1192" s="54" t="s">
        <v>512</v>
      </c>
      <c r="J1192" s="54" t="str">
        <f t="shared" si="51"/>
        <v>GIP35-35</v>
      </c>
    </row>
    <row r="1193" spans="1:10" hidden="1">
      <c r="A1193" s="1663" t="s">
        <v>1439</v>
      </c>
      <c r="B1193" s="1658"/>
      <c r="C1193" s="71" t="s">
        <v>3603</v>
      </c>
      <c r="D1193" s="72" t="s">
        <v>2555</v>
      </c>
      <c r="E1193" s="2008" t="str">
        <f t="shared" si="50"/>
        <v>GI</v>
      </c>
      <c r="F1193" s="54">
        <v>50</v>
      </c>
      <c r="G1193" s="54" t="s">
        <v>512</v>
      </c>
      <c r="J1193" s="54" t="str">
        <f t="shared" si="51"/>
        <v>GIP50-25</v>
      </c>
    </row>
    <row r="1194" spans="1:10" hidden="1">
      <c r="A1194" s="1663" t="s">
        <v>2212</v>
      </c>
      <c r="B1194" s="1658"/>
      <c r="C1194" s="71" t="s">
        <v>3604</v>
      </c>
      <c r="D1194" s="72" t="s">
        <v>2555</v>
      </c>
      <c r="E1194" s="2008" t="str">
        <f t="shared" si="50"/>
        <v>GI</v>
      </c>
      <c r="F1194" s="54">
        <v>50</v>
      </c>
      <c r="G1194" s="54" t="s">
        <v>512</v>
      </c>
      <c r="J1194" s="54" t="str">
        <f t="shared" si="51"/>
        <v>GIP50-35</v>
      </c>
    </row>
    <row r="1195" spans="1:10" hidden="1">
      <c r="A1195" s="1663" t="s">
        <v>2201</v>
      </c>
      <c r="B1195" s="1658"/>
      <c r="C1195" s="71" t="s">
        <v>2386</v>
      </c>
      <c r="D1195" s="72" t="s">
        <v>2555</v>
      </c>
      <c r="E1195" s="2008" t="str">
        <f t="shared" si="50"/>
        <v>GI</v>
      </c>
      <c r="F1195" s="54">
        <v>50</v>
      </c>
      <c r="G1195" s="54" t="s">
        <v>512</v>
      </c>
      <c r="J1195" s="54" t="str">
        <f t="shared" si="51"/>
        <v>GIP70-35</v>
      </c>
    </row>
    <row r="1196" spans="1:10" hidden="1">
      <c r="A1196" s="1663" t="s">
        <v>4319</v>
      </c>
      <c r="B1196" s="1658"/>
      <c r="C1196" s="71" t="s">
        <v>6566</v>
      </c>
      <c r="D1196" s="72" t="s">
        <v>2555</v>
      </c>
      <c r="E1196" s="2008" t="str">
        <f t="shared" si="50"/>
        <v>GI</v>
      </c>
      <c r="F1196" s="54">
        <v>50</v>
      </c>
      <c r="G1196" s="54" t="s">
        <v>512</v>
      </c>
      <c r="J1196" s="54" t="str">
        <f t="shared" si="51"/>
        <v>GIP95-25</v>
      </c>
    </row>
    <row r="1197" spans="1:10" hidden="1">
      <c r="A1197" s="1663" t="s">
        <v>861</v>
      </c>
      <c r="B1197" s="1658"/>
      <c r="C1197" s="71" t="s">
        <v>3605</v>
      </c>
      <c r="D1197" s="72" t="s">
        <v>2555</v>
      </c>
      <c r="E1197" s="2008" t="str">
        <f t="shared" si="50"/>
        <v>GI</v>
      </c>
      <c r="F1197" s="54">
        <v>50</v>
      </c>
      <c r="G1197" s="54" t="s">
        <v>512</v>
      </c>
      <c r="J1197" s="54" t="str">
        <f t="shared" si="51"/>
        <v>GIP95-35</v>
      </c>
    </row>
    <row r="1198" spans="1:10" hidden="1">
      <c r="A1198" s="1663" t="s">
        <v>862</v>
      </c>
      <c r="B1198" s="1658"/>
      <c r="C1198" s="71" t="s">
        <v>3606</v>
      </c>
      <c r="D1198" s="72" t="s">
        <v>2555</v>
      </c>
      <c r="E1198" s="2008" t="str">
        <f t="shared" si="50"/>
        <v>GI</v>
      </c>
      <c r="F1198" s="54">
        <v>50</v>
      </c>
      <c r="G1198" s="54" t="s">
        <v>512</v>
      </c>
      <c r="J1198" s="54" t="str">
        <f t="shared" si="51"/>
        <v>GIP120-35</v>
      </c>
    </row>
    <row r="1199" spans="1:10" hidden="1">
      <c r="A1199" s="1663" t="s">
        <v>2023</v>
      </c>
      <c r="B1199" s="1658"/>
      <c r="C1199" s="71" t="s">
        <v>3607</v>
      </c>
      <c r="D1199" s="72" t="s">
        <v>2555</v>
      </c>
      <c r="E1199" s="2008" t="str">
        <f t="shared" si="50"/>
        <v>GI</v>
      </c>
      <c r="F1199" s="54">
        <v>50</v>
      </c>
      <c r="G1199" s="54" t="s">
        <v>512</v>
      </c>
      <c r="J1199" s="54" t="str">
        <f t="shared" si="51"/>
        <v>GIP50-50</v>
      </c>
    </row>
    <row r="1200" spans="1:10" hidden="1">
      <c r="A1200" s="1664" t="s">
        <v>2031</v>
      </c>
      <c r="B1200" s="1658"/>
      <c r="C1200" s="71" t="s">
        <v>3608</v>
      </c>
      <c r="D1200" s="72" t="s">
        <v>2555</v>
      </c>
      <c r="E1200" s="2008" t="str">
        <f t="shared" si="50"/>
        <v>GI</v>
      </c>
      <c r="F1200" s="54">
        <v>50</v>
      </c>
      <c r="G1200" s="54" t="s">
        <v>512</v>
      </c>
      <c r="J1200" s="54" t="str">
        <f t="shared" si="51"/>
        <v>GIP70-50</v>
      </c>
    </row>
    <row r="1201" spans="1:10" hidden="1">
      <c r="A1201" s="1664" t="s">
        <v>1154</v>
      </c>
      <c r="B1201" s="1658"/>
      <c r="C1201" s="71" t="s">
        <v>3609</v>
      </c>
      <c r="D1201" s="72" t="s">
        <v>2555</v>
      </c>
      <c r="E1201" s="2008" t="str">
        <f t="shared" si="50"/>
        <v>GI</v>
      </c>
      <c r="F1201" s="54">
        <v>50</v>
      </c>
      <c r="G1201" s="54" t="s">
        <v>512</v>
      </c>
      <c r="J1201" s="54" t="str">
        <f t="shared" si="51"/>
        <v>GIP95-50</v>
      </c>
    </row>
    <row r="1202" spans="1:10" hidden="1">
      <c r="A1202" s="1664" t="s">
        <v>1155</v>
      </c>
      <c r="B1202" s="1658"/>
      <c r="C1202" s="71" t="s">
        <v>3610</v>
      </c>
      <c r="D1202" s="72" t="s">
        <v>2555</v>
      </c>
      <c r="E1202" s="2008" t="str">
        <f t="shared" si="50"/>
        <v>GI</v>
      </c>
      <c r="F1202" s="54">
        <v>50</v>
      </c>
      <c r="G1202" s="54" t="s">
        <v>512</v>
      </c>
      <c r="J1202" s="54" t="str">
        <f t="shared" si="51"/>
        <v>GIP120-50</v>
      </c>
    </row>
    <row r="1203" spans="1:10" hidden="1">
      <c r="A1203" s="1664" t="s">
        <v>1347</v>
      </c>
      <c r="B1203" s="1658"/>
      <c r="C1203" s="71" t="s">
        <v>3611</v>
      </c>
      <c r="D1203" s="72" t="s">
        <v>2555</v>
      </c>
      <c r="E1203" s="2008" t="str">
        <f t="shared" ref="E1203:E1264" si="53">LEFT(A1203,2)</f>
        <v>GI</v>
      </c>
      <c r="F1203" s="54">
        <v>50</v>
      </c>
      <c r="G1203" s="54" t="s">
        <v>512</v>
      </c>
      <c r="J1203" s="54" t="str">
        <f t="shared" si="51"/>
        <v>GIP150-50</v>
      </c>
    </row>
    <row r="1204" spans="1:10" hidden="1">
      <c r="A1204" s="1663" t="s">
        <v>1109</v>
      </c>
      <c r="B1204" s="1658"/>
      <c r="C1204" s="71" t="s">
        <v>3612</v>
      </c>
      <c r="D1204" s="72" t="s">
        <v>2555</v>
      </c>
      <c r="E1204" s="2008" t="str">
        <f t="shared" si="53"/>
        <v>GI</v>
      </c>
      <c r="F1204" s="54">
        <v>50</v>
      </c>
      <c r="G1204" s="54" t="s">
        <v>512</v>
      </c>
      <c r="J1204" s="54" t="str">
        <f t="shared" si="51"/>
        <v>GIP70-70</v>
      </c>
    </row>
    <row r="1205" spans="1:10" hidden="1">
      <c r="A1205" s="1664" t="s">
        <v>2032</v>
      </c>
      <c r="B1205" s="1658"/>
      <c r="C1205" s="71" t="s">
        <v>3613</v>
      </c>
      <c r="D1205" s="72" t="s">
        <v>2555</v>
      </c>
      <c r="E1205" s="2008" t="str">
        <f t="shared" si="53"/>
        <v>GI</v>
      </c>
      <c r="F1205" s="54">
        <v>50</v>
      </c>
      <c r="G1205" s="54" t="s">
        <v>512</v>
      </c>
      <c r="J1205" s="54" t="str">
        <f t="shared" si="51"/>
        <v>GIP95-70</v>
      </c>
    </row>
    <row r="1206" spans="1:10" hidden="1">
      <c r="A1206" s="1663" t="s">
        <v>474</v>
      </c>
      <c r="B1206" s="1658"/>
      <c r="C1206" s="71" t="s">
        <v>3614</v>
      </c>
      <c r="D1206" s="72" t="s">
        <v>2555</v>
      </c>
      <c r="E1206" s="2008" t="str">
        <f t="shared" si="53"/>
        <v>GI</v>
      </c>
      <c r="F1206" s="54">
        <v>50</v>
      </c>
      <c r="G1206" s="54" t="s">
        <v>512</v>
      </c>
      <c r="J1206" s="54" t="str">
        <f t="shared" si="51"/>
        <v>GIP120-70</v>
      </c>
    </row>
    <row r="1207" spans="1:10" hidden="1">
      <c r="A1207" s="1663" t="s">
        <v>1345</v>
      </c>
      <c r="B1207" s="1658"/>
      <c r="C1207" s="71" t="s">
        <v>3615</v>
      </c>
      <c r="D1207" s="72" t="s">
        <v>2555</v>
      </c>
      <c r="E1207" s="2008" t="str">
        <f t="shared" si="53"/>
        <v>GI</v>
      </c>
      <c r="F1207" s="54">
        <v>50</v>
      </c>
      <c r="G1207" s="54" t="s">
        <v>512</v>
      </c>
      <c r="J1207" s="54" t="str">
        <f t="shared" si="51"/>
        <v>GIP150-70</v>
      </c>
    </row>
    <row r="1208" spans="1:10" hidden="1">
      <c r="A1208" s="1663" t="s">
        <v>1108</v>
      </c>
      <c r="B1208" s="1658"/>
      <c r="C1208" s="71" t="s">
        <v>3616</v>
      </c>
      <c r="D1208" s="72" t="s">
        <v>2555</v>
      </c>
      <c r="E1208" s="2008" t="str">
        <f t="shared" si="53"/>
        <v>GI</v>
      </c>
      <c r="F1208" s="54">
        <v>50</v>
      </c>
      <c r="G1208" s="54" t="s">
        <v>512</v>
      </c>
      <c r="J1208" s="54" t="str">
        <f t="shared" si="51"/>
        <v>GIP95-95</v>
      </c>
    </row>
    <row r="1209" spans="1:10" ht="14.25" hidden="1" customHeight="1">
      <c r="A1209" s="1664" t="s">
        <v>1153</v>
      </c>
      <c r="B1209" s="1658"/>
      <c r="C1209" s="71" t="s">
        <v>3617</v>
      </c>
      <c r="D1209" s="72" t="s">
        <v>2555</v>
      </c>
      <c r="E1209" s="2008" t="str">
        <f t="shared" si="53"/>
        <v>GI</v>
      </c>
      <c r="F1209" s="54">
        <v>50</v>
      </c>
      <c r="G1209" s="54" t="s">
        <v>512</v>
      </c>
      <c r="J1209" s="54" t="str">
        <f t="shared" si="51"/>
        <v>GIP95-120</v>
      </c>
    </row>
    <row r="1210" spans="1:10" ht="14.25" hidden="1" customHeight="1">
      <c r="A1210" s="1664" t="s">
        <v>1344</v>
      </c>
      <c r="B1210" s="1658"/>
      <c r="C1210" s="71" t="s">
        <v>3618</v>
      </c>
      <c r="D1210" s="72" t="s">
        <v>2555</v>
      </c>
      <c r="E1210" s="2008" t="str">
        <f t="shared" si="53"/>
        <v>GI</v>
      </c>
      <c r="F1210" s="54">
        <v>50</v>
      </c>
      <c r="G1210" s="54" t="s">
        <v>512</v>
      </c>
      <c r="J1210" s="54" t="str">
        <f t="shared" si="51"/>
        <v>GIP95-150</v>
      </c>
    </row>
    <row r="1211" spans="1:10" hidden="1">
      <c r="A1211" s="1643" t="s">
        <v>923</v>
      </c>
      <c r="B1211" s="75" t="s">
        <v>581</v>
      </c>
      <c r="C1211" s="71" t="s">
        <v>3619</v>
      </c>
      <c r="D1211" s="72" t="s">
        <v>2037</v>
      </c>
      <c r="E1211" s="2008" t="str">
        <f t="shared" si="53"/>
        <v>KQ</v>
      </c>
      <c r="F1211" s="54">
        <v>50</v>
      </c>
      <c r="J1211" s="54" t="str">
        <f t="shared" si="51"/>
        <v>KQDUPLEX35</v>
      </c>
    </row>
    <row r="1212" spans="1:10" hidden="1">
      <c r="A1212" s="1643" t="s">
        <v>1113</v>
      </c>
      <c r="B1212" s="75" t="s">
        <v>773</v>
      </c>
      <c r="C1212" s="71" t="s">
        <v>3620</v>
      </c>
      <c r="D1212" s="72" t="s">
        <v>2037</v>
      </c>
      <c r="E1212" s="2008" t="str">
        <f t="shared" si="53"/>
        <v>KQ</v>
      </c>
      <c r="F1212" s="54">
        <v>50</v>
      </c>
      <c r="J1212" s="54" t="str">
        <f t="shared" si="51"/>
        <v>KQDUPLEX22</v>
      </c>
    </row>
    <row r="1213" spans="1:10" hidden="1">
      <c r="A1213" s="1643" t="s">
        <v>2062</v>
      </c>
      <c r="B1213" s="75" t="s">
        <v>775</v>
      </c>
      <c r="C1213" s="71" t="s">
        <v>3621</v>
      </c>
      <c r="D1213" s="72" t="s">
        <v>2037</v>
      </c>
      <c r="E1213" s="2008" t="str">
        <f t="shared" si="53"/>
        <v>KQ</v>
      </c>
      <c r="F1213" s="54">
        <v>50</v>
      </c>
      <c r="J1213" s="54" t="str">
        <f t="shared" si="51"/>
        <v>KQDUPLEX16</v>
      </c>
    </row>
    <row r="1214" spans="1:10" hidden="1">
      <c r="A1214" s="1643" t="s">
        <v>774</v>
      </c>
      <c r="B1214" s="75" t="s">
        <v>775</v>
      </c>
      <c r="C1214" s="71" t="s">
        <v>3622</v>
      </c>
      <c r="D1214" s="72" t="s">
        <v>2037</v>
      </c>
      <c r="E1214" s="2008" t="str">
        <f t="shared" si="53"/>
        <v>KQ</v>
      </c>
      <c r="F1214" s="54">
        <v>50</v>
      </c>
      <c r="J1214" s="54" t="str">
        <f t="shared" si="51"/>
        <v>KQDUPLEX14</v>
      </c>
    </row>
    <row r="1215" spans="1:10" hidden="1">
      <c r="A1215" s="1643" t="s">
        <v>776</v>
      </c>
      <c r="B1215" s="75" t="s">
        <v>775</v>
      </c>
      <c r="C1215" s="71" t="s">
        <v>3623</v>
      </c>
      <c r="D1215" s="72" t="s">
        <v>2037</v>
      </c>
      <c r="E1215" s="2008" t="str">
        <f t="shared" si="53"/>
        <v>KQ</v>
      </c>
      <c r="F1215" s="54">
        <v>50</v>
      </c>
      <c r="J1215" s="54" t="str">
        <f t="shared" si="51"/>
        <v>KQDUPLEX11</v>
      </c>
    </row>
    <row r="1216" spans="1:10" hidden="1">
      <c r="A1216" s="1643" t="s">
        <v>735</v>
      </c>
      <c r="B1216" s="75" t="s">
        <v>775</v>
      </c>
      <c r="C1216" s="71" t="s">
        <v>3624</v>
      </c>
      <c r="D1216" s="72" t="s">
        <v>2037</v>
      </c>
      <c r="E1216" s="2008" t="str">
        <f t="shared" si="53"/>
        <v>KT</v>
      </c>
      <c r="F1216" s="54">
        <v>50</v>
      </c>
      <c r="J1216" s="54" t="str">
        <f t="shared" si="51"/>
        <v>KTriplex16</v>
      </c>
    </row>
    <row r="1217" spans="1:10" hidden="1">
      <c r="A1217" s="1643" t="s">
        <v>777</v>
      </c>
      <c r="B1217" s="75" t="s">
        <v>775</v>
      </c>
      <c r="C1217" s="71" t="s">
        <v>3625</v>
      </c>
      <c r="D1217" s="72" t="s">
        <v>2037</v>
      </c>
      <c r="E1217" s="2008" t="str">
        <f t="shared" si="53"/>
        <v>KD</v>
      </c>
      <c r="F1217" s="54">
        <v>50</v>
      </c>
      <c r="J1217" s="54" t="str">
        <f t="shared" si="51"/>
        <v>KDUPLEX11</v>
      </c>
    </row>
    <row r="1218" spans="1:10" hidden="1">
      <c r="A1218" s="71" t="s">
        <v>467</v>
      </c>
      <c r="B1218" s="1658"/>
      <c r="C1218" s="73" t="s">
        <v>3626</v>
      </c>
      <c r="D1218" s="72" t="s">
        <v>2555</v>
      </c>
      <c r="E1218" s="2008" t="str">
        <f t="shared" si="53"/>
        <v>Di</v>
      </c>
      <c r="F1218" s="54">
        <v>50</v>
      </c>
      <c r="G1218" s="54" t="s">
        <v>512</v>
      </c>
      <c r="J1218" s="54" t="str">
        <f t="shared" si="51"/>
        <v>Diabaohieu</v>
      </c>
    </row>
    <row r="1219" spans="1:10" hidden="1">
      <c r="A1219" s="71" t="s">
        <v>1420</v>
      </c>
      <c r="B1219" s="1658"/>
      <c r="C1219" s="73" t="s">
        <v>3627</v>
      </c>
      <c r="D1219" s="72" t="s">
        <v>2555</v>
      </c>
      <c r="E1219" s="2008" t="str">
        <f t="shared" si="53"/>
        <v>De</v>
      </c>
      <c r="F1219" s="54">
        <v>50</v>
      </c>
      <c r="G1219" s="54" t="s">
        <v>512</v>
      </c>
      <c r="J1219" s="54" t="str">
        <f t="shared" si="51"/>
        <v>Denbao</v>
      </c>
    </row>
    <row r="1220" spans="1:10" hidden="1">
      <c r="A1220" s="1655" t="s">
        <v>3628</v>
      </c>
      <c r="E1220" s="2008" t="str">
        <f t="shared" si="53"/>
        <v>Đơ</v>
      </c>
      <c r="F1220" s="54">
        <v>50</v>
      </c>
      <c r="G1220" s="54" t="s">
        <v>512</v>
      </c>
      <c r="J1220" s="54" t="str">
        <f t="shared" si="51"/>
        <v>Đơn giá chiếu sáng</v>
      </c>
    </row>
    <row r="1221" spans="1:10" hidden="1">
      <c r="A1221" s="71" t="s">
        <v>2058</v>
      </c>
      <c r="B1221" s="1638" t="s">
        <v>1800</v>
      </c>
      <c r="C1221" s="71" t="s">
        <v>2602</v>
      </c>
      <c r="D1221" s="72" t="s">
        <v>2555</v>
      </c>
      <c r="E1221" s="2008" t="str">
        <f t="shared" si="53"/>
        <v>TU</v>
      </c>
      <c r="F1221" s="54">
        <v>50</v>
      </c>
      <c r="G1221" s="54" t="s">
        <v>512</v>
      </c>
      <c r="J1221" s="54" t="str">
        <f t="shared" si="51"/>
        <v>TUDKCS</v>
      </c>
    </row>
    <row r="1222" spans="1:10" hidden="1">
      <c r="A1222" s="71" t="s">
        <v>441</v>
      </c>
      <c r="B1222" s="75"/>
      <c r="C1222" s="73" t="s">
        <v>3629</v>
      </c>
      <c r="D1222" s="72" t="s">
        <v>2831</v>
      </c>
      <c r="E1222" s="2008" t="str">
        <f t="shared" si="53"/>
        <v>TR</v>
      </c>
      <c r="F1222" s="54">
        <v>16</v>
      </c>
      <c r="G1222" s="54" t="s">
        <v>512</v>
      </c>
      <c r="J1222" s="54" t="str">
        <f t="shared" si="51"/>
        <v>TRTHEP6</v>
      </c>
    </row>
    <row r="1223" spans="1:10" hidden="1">
      <c r="A1223" s="71" t="s">
        <v>387</v>
      </c>
      <c r="B1223" s="75"/>
      <c r="C1223" s="73" t="s">
        <v>3630</v>
      </c>
      <c r="D1223" s="72" t="s">
        <v>2831</v>
      </c>
      <c r="E1223" s="2008" t="str">
        <f t="shared" si="53"/>
        <v>TR</v>
      </c>
      <c r="F1223" s="54">
        <v>16</v>
      </c>
      <c r="G1223" s="54" t="s">
        <v>512</v>
      </c>
      <c r="J1223" s="54" t="str">
        <f t="shared" si="51"/>
        <v>TRTHEP7</v>
      </c>
    </row>
    <row r="1224" spans="1:10" hidden="1">
      <c r="A1224" s="71" t="s">
        <v>1361</v>
      </c>
      <c r="B1224" s="75" t="s">
        <v>220</v>
      </c>
      <c r="C1224" s="73" t="s">
        <v>3631</v>
      </c>
      <c r="D1224" s="72" t="s">
        <v>2555</v>
      </c>
      <c r="E1224" s="2008" t="str">
        <f t="shared" si="53"/>
        <v>D1</v>
      </c>
      <c r="F1224" s="54">
        <v>50</v>
      </c>
      <c r="G1224" s="54" t="s">
        <v>512</v>
      </c>
      <c r="J1224" s="54" t="str">
        <f t="shared" si="51"/>
        <v>D12 CS</v>
      </c>
    </row>
    <row r="1225" spans="1:10" ht="32.25" hidden="1" customHeight="1">
      <c r="A1225" s="71" t="s">
        <v>1246</v>
      </c>
      <c r="B1225" s="75"/>
      <c r="C1225" s="73" t="s">
        <v>3632</v>
      </c>
      <c r="D1225" s="72" t="s">
        <v>3633</v>
      </c>
      <c r="E1225" s="2008" t="str">
        <f t="shared" si="53"/>
        <v>CD</v>
      </c>
      <c r="F1225" s="54">
        <v>50</v>
      </c>
      <c r="G1225" s="54" t="s">
        <v>512</v>
      </c>
      <c r="J1225" s="54" t="str">
        <f t="shared" si="51"/>
        <v>CDDON</v>
      </c>
    </row>
    <row r="1226" spans="1:10" ht="32.25" hidden="1" customHeight="1">
      <c r="A1226" s="71" t="s">
        <v>1245</v>
      </c>
      <c r="B1226" s="75"/>
      <c r="C1226" s="73" t="s">
        <v>3634</v>
      </c>
      <c r="D1226" s="72" t="s">
        <v>3633</v>
      </c>
      <c r="E1226" s="2008" t="str">
        <f t="shared" si="53"/>
        <v>CD</v>
      </c>
      <c r="F1226" s="54">
        <v>50</v>
      </c>
      <c r="G1226" s="54" t="s">
        <v>512</v>
      </c>
      <c r="J1226" s="54" t="str">
        <f t="shared" si="51"/>
        <v>CDDOI</v>
      </c>
    </row>
    <row r="1227" spans="1:10" ht="32.25" hidden="1" customHeight="1">
      <c r="A1227" s="71" t="s">
        <v>2135</v>
      </c>
      <c r="B1227" s="75"/>
      <c r="C1227" s="73" t="s">
        <v>3635</v>
      </c>
      <c r="D1227" s="72" t="s">
        <v>3633</v>
      </c>
      <c r="E1227" s="2008" t="str">
        <f t="shared" si="53"/>
        <v>CD</v>
      </c>
      <c r="F1227" s="54">
        <v>50</v>
      </c>
      <c r="G1227" s="54" t="s">
        <v>512</v>
      </c>
      <c r="J1227" s="54" t="str">
        <f t="shared" si="51"/>
        <v>CD-Sonadezi</v>
      </c>
    </row>
    <row r="1228" spans="1:10" ht="30.75" hidden="1" customHeight="1">
      <c r="A1228" s="71" t="s">
        <v>839</v>
      </c>
      <c r="B1228" s="75"/>
      <c r="C1228" s="73" t="s">
        <v>3636</v>
      </c>
      <c r="D1228" s="72" t="s">
        <v>3633</v>
      </c>
      <c r="E1228" s="2008" t="str">
        <f t="shared" si="53"/>
        <v>CD</v>
      </c>
      <c r="F1228" s="54">
        <v>50</v>
      </c>
      <c r="G1228" s="54" t="s">
        <v>512</v>
      </c>
      <c r="J1228" s="54" t="str">
        <f t="shared" si="51"/>
        <v>CDDON+C</v>
      </c>
    </row>
    <row r="1229" spans="1:10" ht="32.25" hidden="1" customHeight="1">
      <c r="A1229" s="71" t="s">
        <v>840</v>
      </c>
      <c r="B1229" s="75"/>
      <c r="C1229" s="73" t="s">
        <v>3637</v>
      </c>
      <c r="D1229" s="72" t="s">
        <v>3633</v>
      </c>
      <c r="E1229" s="2008" t="str">
        <f t="shared" si="53"/>
        <v>CD</v>
      </c>
      <c r="F1229" s="54">
        <v>50</v>
      </c>
      <c r="G1229" s="54" t="s">
        <v>512</v>
      </c>
      <c r="J1229" s="54" t="str">
        <f t="shared" si="51"/>
        <v>CDDOI+C</v>
      </c>
    </row>
    <row r="1230" spans="1:10" hidden="1">
      <c r="A1230" s="71" t="s">
        <v>1170</v>
      </c>
      <c r="B1230" s="75"/>
      <c r="C1230" s="73" t="s">
        <v>3638</v>
      </c>
      <c r="D1230" s="72" t="s">
        <v>3633</v>
      </c>
      <c r="E1230" s="2008" t="str">
        <f t="shared" si="53"/>
        <v>CD</v>
      </c>
      <c r="F1230" s="54">
        <v>50</v>
      </c>
      <c r="G1230" s="54" t="s">
        <v>512</v>
      </c>
      <c r="J1230" s="54" t="str">
        <f t="shared" si="51"/>
        <v>CDBA</v>
      </c>
    </row>
    <row r="1231" spans="1:10" hidden="1">
      <c r="A1231" s="71" t="s">
        <v>320</v>
      </c>
      <c r="B1231" s="1658"/>
      <c r="C1231" s="73" t="s">
        <v>3639</v>
      </c>
      <c r="D1231" s="72" t="s">
        <v>2439</v>
      </c>
      <c r="E1231" s="2008" t="str">
        <f t="shared" si="53"/>
        <v>DE</v>
      </c>
      <c r="F1231" s="54">
        <v>50</v>
      </c>
      <c r="G1231" s="54" t="s">
        <v>512</v>
      </c>
      <c r="J1231" s="54" t="str">
        <f t="shared" si="51"/>
        <v>DEN</v>
      </c>
    </row>
    <row r="1232" spans="1:10" hidden="1">
      <c r="A1232" s="71" t="s">
        <v>1362</v>
      </c>
      <c r="B1232" s="1658"/>
      <c r="C1232" s="73" t="s">
        <v>3640</v>
      </c>
      <c r="D1232" s="72" t="s">
        <v>2439</v>
      </c>
      <c r="E1232" s="2008" t="str">
        <f t="shared" si="53"/>
        <v>DE</v>
      </c>
      <c r="F1232" s="54">
        <v>50</v>
      </c>
      <c r="G1232" s="54" t="s">
        <v>512</v>
      </c>
      <c r="J1232" s="54" t="str">
        <f t="shared" ref="J1232:J1295" si="54">A1232</f>
        <v>DEN-sonadezi</v>
      </c>
    </row>
    <row r="1233" spans="1:10" hidden="1">
      <c r="A1233" s="71" t="s">
        <v>969</v>
      </c>
      <c r="B1233" s="75"/>
      <c r="C1233" s="73" t="s">
        <v>3641</v>
      </c>
      <c r="D1233" s="72" t="s">
        <v>2555</v>
      </c>
      <c r="E1233" s="2008" t="str">
        <f t="shared" si="53"/>
        <v>CH</v>
      </c>
      <c r="F1233" s="54">
        <v>50</v>
      </c>
      <c r="G1233" s="54" t="s">
        <v>512</v>
      </c>
      <c r="J1233" s="54" t="str">
        <f t="shared" si="54"/>
        <v>CHI5</v>
      </c>
    </row>
    <row r="1234" spans="1:10" hidden="1">
      <c r="A1234" s="71" t="s">
        <v>475</v>
      </c>
      <c r="B1234" s="1658"/>
      <c r="C1234" s="73" t="s">
        <v>3642</v>
      </c>
      <c r="D1234" s="72" t="s">
        <v>2555</v>
      </c>
      <c r="E1234" s="2008" t="str">
        <f t="shared" si="53"/>
        <v>DO</v>
      </c>
      <c r="F1234" s="54">
        <v>50</v>
      </c>
      <c r="G1234" s="54" t="s">
        <v>512</v>
      </c>
      <c r="J1234" s="54" t="str">
        <f t="shared" si="54"/>
        <v>DOMINO</v>
      </c>
    </row>
    <row r="1235" spans="1:10" hidden="1">
      <c r="A1235" s="1665"/>
      <c r="B1235" s="1666"/>
      <c r="C1235" s="1665"/>
      <c r="D1235" s="1667"/>
      <c r="E1235" s="2008" t="str">
        <f t="shared" si="53"/>
        <v/>
      </c>
      <c r="F1235" s="54">
        <v>50</v>
      </c>
      <c r="J1235" s="54">
        <f t="shared" si="54"/>
        <v>0</v>
      </c>
    </row>
    <row r="1236" spans="1:10" hidden="1">
      <c r="A1236" s="1668" t="s">
        <v>1844</v>
      </c>
      <c r="B1236" s="1669" t="s">
        <v>290</v>
      </c>
      <c r="C1236" s="1668" t="s">
        <v>3643</v>
      </c>
      <c r="D1236" s="1670" t="s">
        <v>2555</v>
      </c>
      <c r="E1236" s="2008" t="str">
        <f t="shared" si="53"/>
        <v>LC</v>
      </c>
      <c r="F1236" s="54">
        <v>2000</v>
      </c>
      <c r="J1236" s="54" t="str">
        <f t="shared" si="54"/>
        <v>LCAN+C</v>
      </c>
    </row>
    <row r="1237" spans="1:10" hidden="1">
      <c r="A1237" s="71" t="s">
        <v>514</v>
      </c>
      <c r="B1237" s="1638" t="s">
        <v>291</v>
      </c>
      <c r="C1237" s="71" t="s">
        <v>3644</v>
      </c>
      <c r="D1237" s="72" t="s">
        <v>3633</v>
      </c>
      <c r="E1237" s="2008" t="str">
        <f t="shared" si="53"/>
        <v>LC</v>
      </c>
      <c r="F1237" s="54">
        <v>2000</v>
      </c>
      <c r="J1237" s="54" t="str">
        <f t="shared" si="54"/>
        <v>LCAN2,8</v>
      </c>
    </row>
    <row r="1238" spans="1:10" hidden="1">
      <c r="A1238" s="71" t="s">
        <v>121</v>
      </c>
      <c r="B1238" s="1638" t="s">
        <v>122</v>
      </c>
      <c r="C1238" s="71" t="s">
        <v>3645</v>
      </c>
      <c r="D1238" s="72" t="s">
        <v>3633</v>
      </c>
      <c r="E1238" s="2008" t="str">
        <f t="shared" si="53"/>
        <v>LC</v>
      </c>
      <c r="F1238" s="54">
        <v>2000</v>
      </c>
      <c r="J1238" s="54" t="str">
        <f t="shared" si="54"/>
        <v>LCAN3,2</v>
      </c>
    </row>
    <row r="1239" spans="1:10" hidden="1">
      <c r="A1239" s="71" t="s">
        <v>1801</v>
      </c>
      <c r="B1239" s="1638" t="s">
        <v>1803</v>
      </c>
      <c r="C1239" s="71" t="s">
        <v>3646</v>
      </c>
      <c r="D1239" s="72" t="s">
        <v>2532</v>
      </c>
      <c r="E1239" s="2008" t="str">
        <f t="shared" si="53"/>
        <v>LT</v>
      </c>
      <c r="F1239" s="54">
        <v>2000</v>
      </c>
      <c r="J1239" s="54" t="str">
        <f t="shared" si="54"/>
        <v>LTD-DEN</v>
      </c>
    </row>
    <row r="1240" spans="1:10" hidden="1">
      <c r="A1240" s="71" t="s">
        <v>1172</v>
      </c>
      <c r="B1240" s="1638" t="s">
        <v>292</v>
      </c>
      <c r="C1240" s="71" t="s">
        <v>3647</v>
      </c>
      <c r="D1240" s="72" t="s">
        <v>2439</v>
      </c>
      <c r="E1240" s="2008" t="str">
        <f t="shared" si="53"/>
        <v>LD</v>
      </c>
      <c r="F1240" s="54">
        <v>2000</v>
      </c>
      <c r="J1240" s="54" t="str">
        <f t="shared" si="54"/>
        <v>LDEN</v>
      </c>
    </row>
    <row r="1241" spans="1:10" hidden="1">
      <c r="A1241" s="71" t="s">
        <v>494</v>
      </c>
      <c r="B1241" s="1638" t="s">
        <v>1363</v>
      </c>
      <c r="C1241" s="73" t="s">
        <v>3648</v>
      </c>
      <c r="D1241" s="72" t="s">
        <v>2831</v>
      </c>
      <c r="E1241" s="2008" t="str">
        <f t="shared" si="53"/>
        <v>LT</v>
      </c>
      <c r="F1241" s="54">
        <v>2000</v>
      </c>
      <c r="J1241" s="54" t="str">
        <f t="shared" si="54"/>
        <v>LTRUDEN</v>
      </c>
    </row>
    <row r="1242" spans="1:10" hidden="1">
      <c r="A1242" s="71" t="s">
        <v>1364</v>
      </c>
      <c r="B1242" s="1638" t="s">
        <v>789</v>
      </c>
      <c r="C1242" s="73" t="s">
        <v>3649</v>
      </c>
      <c r="D1242" s="72" t="s">
        <v>2831</v>
      </c>
      <c r="E1242" s="2008" t="str">
        <f t="shared" si="53"/>
        <v>LB</v>
      </c>
      <c r="F1242" s="54">
        <v>2000</v>
      </c>
      <c r="J1242" s="54" t="str">
        <f t="shared" si="54"/>
        <v>LBTLT</v>
      </c>
    </row>
    <row r="1243" spans="1:10" hidden="1">
      <c r="A1243" s="71" t="s">
        <v>1684</v>
      </c>
      <c r="B1243" s="1638" t="s">
        <v>493</v>
      </c>
      <c r="C1243" s="73" t="s">
        <v>3650</v>
      </c>
      <c r="D1243" s="72" t="s">
        <v>2532</v>
      </c>
      <c r="E1243" s="2008" t="str">
        <f t="shared" si="53"/>
        <v>LU</v>
      </c>
      <c r="F1243" s="54">
        <v>2000</v>
      </c>
      <c r="J1243" s="54" t="str">
        <f t="shared" si="54"/>
        <v>LUONDAY</v>
      </c>
    </row>
    <row r="1244" spans="1:10" hidden="1">
      <c r="A1244" s="71" t="s">
        <v>592</v>
      </c>
      <c r="B1244" s="1638" t="s">
        <v>593</v>
      </c>
      <c r="C1244" s="73" t="s">
        <v>3651</v>
      </c>
      <c r="D1244" s="72" t="s">
        <v>2532</v>
      </c>
      <c r="E1244" s="2008" t="str">
        <f t="shared" si="53"/>
        <v>KC</v>
      </c>
      <c r="F1244" s="54">
        <v>2000</v>
      </c>
      <c r="J1244" s="54" t="str">
        <f t="shared" si="54"/>
        <v>KCAPDEN</v>
      </c>
    </row>
    <row r="1245" spans="1:10" hidden="1">
      <c r="A1245" s="71" t="s">
        <v>594</v>
      </c>
      <c r="B1245" s="1638" t="s">
        <v>595</v>
      </c>
      <c r="C1245" s="73" t="s">
        <v>3652</v>
      </c>
      <c r="D1245" s="72" t="s">
        <v>2532</v>
      </c>
      <c r="E1245" s="2008" t="str">
        <f t="shared" si="53"/>
        <v>KC</v>
      </c>
      <c r="F1245" s="54">
        <v>2000</v>
      </c>
      <c r="J1245" s="54" t="str">
        <f t="shared" si="54"/>
        <v>KCAPDEN25</v>
      </c>
    </row>
    <row r="1246" spans="1:10" hidden="1">
      <c r="A1246" s="71" t="s">
        <v>293</v>
      </c>
      <c r="B1246" s="1638" t="s">
        <v>492</v>
      </c>
      <c r="C1246" s="73" t="s">
        <v>3653</v>
      </c>
      <c r="D1246" s="72" t="s">
        <v>2532</v>
      </c>
      <c r="E1246" s="2008" t="str">
        <f t="shared" si="53"/>
        <v>LC</v>
      </c>
      <c r="F1246" s="54">
        <v>2000</v>
      </c>
      <c r="J1246" s="54" t="str">
        <f t="shared" si="54"/>
        <v>LCAPDEN</v>
      </c>
    </row>
    <row r="1247" spans="1:10" hidden="1">
      <c r="A1247" s="71" t="s">
        <v>596</v>
      </c>
      <c r="B1247" s="1638" t="s">
        <v>597</v>
      </c>
      <c r="C1247" s="73" t="s">
        <v>3654</v>
      </c>
      <c r="D1247" s="72" t="s">
        <v>2439</v>
      </c>
      <c r="E1247" s="2008" t="str">
        <f t="shared" si="53"/>
        <v>LD</v>
      </c>
      <c r="F1247" s="54">
        <v>2000</v>
      </c>
      <c r="J1247" s="54" t="str">
        <f t="shared" si="54"/>
        <v>LDAUCAPCS</v>
      </c>
    </row>
    <row r="1248" spans="1:10" hidden="1">
      <c r="A1248" s="71" t="s">
        <v>1121</v>
      </c>
      <c r="B1248" s="1638" t="s">
        <v>1122</v>
      </c>
      <c r="C1248" s="73" t="s">
        <v>3655</v>
      </c>
      <c r="D1248" s="72" t="s">
        <v>2555</v>
      </c>
      <c r="E1248" s="2008" t="str">
        <f t="shared" si="53"/>
        <v>Lc</v>
      </c>
      <c r="F1248" s="54">
        <v>2000</v>
      </c>
      <c r="J1248" s="54" t="str">
        <f t="shared" si="54"/>
        <v>Lcauchi</v>
      </c>
    </row>
    <row r="1249" spans="1:10" hidden="1">
      <c r="A1249" s="71" t="s">
        <v>1275</v>
      </c>
      <c r="B1249" s="1638" t="s">
        <v>2102</v>
      </c>
      <c r="C1249" s="73" t="s">
        <v>3656</v>
      </c>
      <c r="D1249" s="72" t="s">
        <v>2532</v>
      </c>
      <c r="E1249" s="2008" t="str">
        <f t="shared" si="53"/>
        <v>LP</v>
      </c>
      <c r="F1249" s="54">
        <v>2000</v>
      </c>
      <c r="J1249" s="54" t="str">
        <f t="shared" si="54"/>
        <v>LPVC60CL CS</v>
      </c>
    </row>
    <row r="1250" spans="1:10" hidden="1">
      <c r="A1250" s="71" t="s">
        <v>1276</v>
      </c>
      <c r="B1250" s="1638" t="s">
        <v>2103</v>
      </c>
      <c r="C1250" s="73" t="s">
        <v>3657</v>
      </c>
      <c r="D1250" s="72" t="s">
        <v>2532</v>
      </c>
      <c r="E1250" s="2008" t="str">
        <f t="shared" si="53"/>
        <v>LP</v>
      </c>
      <c r="F1250" s="54">
        <v>2000</v>
      </c>
      <c r="J1250" s="54" t="str">
        <f t="shared" si="54"/>
        <v>LPVC90CL CS</v>
      </c>
    </row>
    <row r="1251" spans="1:10" hidden="1">
      <c r="A1251" s="71" t="s">
        <v>1277</v>
      </c>
      <c r="B1251" s="1638" t="s">
        <v>1278</v>
      </c>
      <c r="C1251" s="73" t="s">
        <v>3658</v>
      </c>
      <c r="D1251" s="72" t="s">
        <v>2532</v>
      </c>
      <c r="E1251" s="2008" t="str">
        <f t="shared" si="53"/>
        <v>LS</v>
      </c>
      <c r="F1251" s="54">
        <v>2000</v>
      </c>
      <c r="J1251" s="54" t="str">
        <f t="shared" si="54"/>
        <v>LSTK120d CS</v>
      </c>
    </row>
    <row r="1252" spans="1:10" hidden="1">
      <c r="A1252" s="71" t="s">
        <v>2123</v>
      </c>
      <c r="B1252" s="1638" t="s">
        <v>85</v>
      </c>
      <c r="C1252" s="73" t="s">
        <v>3659</v>
      </c>
      <c r="D1252" s="72" t="s">
        <v>3006</v>
      </c>
      <c r="E1252" s="2008" t="str">
        <f t="shared" si="53"/>
        <v>LG</v>
      </c>
      <c r="F1252" s="54">
        <v>2000</v>
      </c>
      <c r="J1252" s="54" t="str">
        <f t="shared" si="54"/>
        <v>LGACH CS</v>
      </c>
    </row>
    <row r="1253" spans="1:10" hidden="1">
      <c r="A1253" s="71" t="s">
        <v>1554</v>
      </c>
      <c r="B1253" s="1638" t="s">
        <v>2195</v>
      </c>
      <c r="C1253" s="73" t="s">
        <v>3660</v>
      </c>
      <c r="D1253" s="72" t="s">
        <v>856</v>
      </c>
      <c r="E1253" s="2008" t="str">
        <f t="shared" si="53"/>
        <v>DM</v>
      </c>
      <c r="F1253" s="54">
        <v>2000</v>
      </c>
      <c r="J1253" s="54" t="str">
        <f t="shared" si="54"/>
        <v>DMCS</v>
      </c>
    </row>
    <row r="1254" spans="1:10" hidden="1">
      <c r="A1254" s="71" t="s">
        <v>2196</v>
      </c>
      <c r="B1254" s="1638" t="s">
        <v>2197</v>
      </c>
      <c r="C1254" s="73" t="s">
        <v>3661</v>
      </c>
      <c r="D1254" s="72" t="s">
        <v>856</v>
      </c>
      <c r="E1254" s="2008" t="str">
        <f t="shared" si="53"/>
        <v>DD</v>
      </c>
      <c r="F1254" s="54">
        <v>2000</v>
      </c>
      <c r="J1254" s="54" t="str">
        <f t="shared" si="54"/>
        <v>DDMCS3</v>
      </c>
    </row>
    <row r="1255" spans="1:10" hidden="1">
      <c r="A1255" s="71" t="s">
        <v>2198</v>
      </c>
      <c r="B1255" s="1638" t="s">
        <v>2199</v>
      </c>
      <c r="C1255" s="73" t="s">
        <v>3662</v>
      </c>
      <c r="D1255" s="72" t="s">
        <v>856</v>
      </c>
      <c r="E1255" s="2008" t="str">
        <f t="shared" si="53"/>
        <v>DC</v>
      </c>
      <c r="F1255" s="54">
        <v>2000</v>
      </c>
      <c r="J1255" s="54" t="str">
        <f t="shared" si="54"/>
        <v>DCatMCS</v>
      </c>
    </row>
    <row r="1256" spans="1:10" hidden="1">
      <c r="A1256" s="71" t="s">
        <v>559</v>
      </c>
      <c r="B1256" s="1638" t="s">
        <v>1555</v>
      </c>
      <c r="C1256" s="73" t="s">
        <v>3663</v>
      </c>
      <c r="D1256" s="72" t="s">
        <v>856</v>
      </c>
      <c r="E1256" s="2008" t="str">
        <f t="shared" si="53"/>
        <v>DM</v>
      </c>
      <c r="F1256" s="54">
        <v>2000</v>
      </c>
      <c r="J1256" s="54" t="str">
        <f t="shared" si="54"/>
        <v>DMongCS</v>
      </c>
    </row>
    <row r="1257" spans="1:10" hidden="1">
      <c r="A1257" s="71" t="s">
        <v>1553</v>
      </c>
      <c r="B1257" s="1638" t="s">
        <v>1556</v>
      </c>
      <c r="C1257" s="73" t="s">
        <v>3664</v>
      </c>
      <c r="D1257" s="72" t="s">
        <v>856</v>
      </c>
      <c r="E1257" s="2008" t="str">
        <f t="shared" si="53"/>
        <v>DM</v>
      </c>
      <c r="F1257" s="54">
        <v>2000</v>
      </c>
      <c r="J1257" s="54" t="str">
        <f t="shared" si="54"/>
        <v>DMongCS1</v>
      </c>
    </row>
    <row r="1258" spans="1:10" hidden="1">
      <c r="A1258" s="71" t="s">
        <v>1805</v>
      </c>
      <c r="B1258" s="1638" t="s">
        <v>972</v>
      </c>
      <c r="C1258" s="73" t="s">
        <v>3665</v>
      </c>
      <c r="D1258" s="72" t="s">
        <v>856</v>
      </c>
      <c r="E1258" s="2008" t="str">
        <f t="shared" si="53"/>
        <v>DD</v>
      </c>
      <c r="F1258" s="54">
        <v>2000</v>
      </c>
      <c r="J1258" s="54" t="str">
        <f t="shared" si="54"/>
        <v>DDMongCS3</v>
      </c>
    </row>
    <row r="1259" spans="1:10" hidden="1">
      <c r="A1259" s="71" t="s">
        <v>1806</v>
      </c>
      <c r="B1259" s="1638" t="s">
        <v>973</v>
      </c>
      <c r="C1259" s="73" t="s">
        <v>3666</v>
      </c>
      <c r="D1259" s="72" t="s">
        <v>856</v>
      </c>
      <c r="E1259" s="2008" t="str">
        <f t="shared" si="53"/>
        <v>DC</v>
      </c>
      <c r="F1259" s="54">
        <v>2000</v>
      </c>
      <c r="J1259" s="54" t="str">
        <f t="shared" si="54"/>
        <v>DCatMongCS</v>
      </c>
    </row>
    <row r="1260" spans="1:10" hidden="1">
      <c r="A1260" s="71" t="s">
        <v>1804</v>
      </c>
      <c r="B1260" s="1638" t="s">
        <v>1802</v>
      </c>
      <c r="C1260" s="73" t="s">
        <v>3667</v>
      </c>
      <c r="D1260" s="72" t="s">
        <v>2278</v>
      </c>
      <c r="E1260" s="2008" t="str">
        <f t="shared" si="53"/>
        <v>Do</v>
      </c>
      <c r="F1260" s="54">
        <v>2000</v>
      </c>
      <c r="J1260" s="54" t="str">
        <f t="shared" si="54"/>
        <v>DongCTD</v>
      </c>
    </row>
    <row r="1261" spans="1:10" hidden="1">
      <c r="A1261" s="71" t="s">
        <v>1952</v>
      </c>
      <c r="B1261" s="1638" t="s">
        <v>1953</v>
      </c>
      <c r="C1261" s="73" t="s">
        <v>3668</v>
      </c>
      <c r="D1261" s="72" t="s">
        <v>856</v>
      </c>
      <c r="E1261" s="2008" t="str">
        <f t="shared" si="53"/>
        <v>DB</v>
      </c>
      <c r="F1261" s="54">
        <v>2000</v>
      </c>
      <c r="J1261" s="54" t="str">
        <f t="shared" si="54"/>
        <v>DBTM150CS</v>
      </c>
    </row>
    <row r="1262" spans="1:10" hidden="1">
      <c r="A1262" s="71" t="s">
        <v>1573</v>
      </c>
      <c r="B1262" s="1638" t="s">
        <v>265</v>
      </c>
      <c r="C1262" s="73" t="s">
        <v>3669</v>
      </c>
      <c r="D1262" s="72" t="s">
        <v>856</v>
      </c>
      <c r="E1262" s="2008" t="str">
        <f t="shared" si="53"/>
        <v>DB</v>
      </c>
      <c r="F1262" s="54">
        <v>2000</v>
      </c>
      <c r="J1262" s="54" t="str">
        <f t="shared" si="54"/>
        <v>DBT20012CS</v>
      </c>
    </row>
    <row r="1263" spans="1:10" hidden="1">
      <c r="A1263" s="1671" t="s">
        <v>4137</v>
      </c>
      <c r="B1263" s="1638" t="s">
        <v>1754</v>
      </c>
      <c r="C1263" s="1672" t="s">
        <v>4873</v>
      </c>
      <c r="D1263" s="1673" t="s">
        <v>4138</v>
      </c>
      <c r="E1263" s="2008" t="str">
        <f t="shared" si="53"/>
        <v>Ho</v>
      </c>
      <c r="F1263" s="54">
        <v>50</v>
      </c>
      <c r="G1263" s="54" t="s">
        <v>512</v>
      </c>
      <c r="J1263" s="54" t="str">
        <f t="shared" si="54"/>
        <v>HopCBpd</v>
      </c>
    </row>
    <row r="1264" spans="1:10" hidden="1">
      <c r="A1264" s="1671" t="s">
        <v>4346</v>
      </c>
      <c r="B1264" s="1638"/>
      <c r="C1264" s="1672" t="s">
        <v>4347</v>
      </c>
      <c r="D1264" s="1674" t="s">
        <v>2555</v>
      </c>
      <c r="E1264" s="2008" t="str">
        <f t="shared" si="53"/>
        <v>CC</v>
      </c>
      <c r="F1264" s="54">
        <v>50</v>
      </c>
      <c r="G1264" s="54" t="s">
        <v>512</v>
      </c>
      <c r="J1264" s="54" t="str">
        <f t="shared" si="54"/>
        <v>CCĐMBA</v>
      </c>
    </row>
    <row r="1265" spans="1:10" hidden="1">
      <c r="A1265" s="1671" t="s">
        <v>4340</v>
      </c>
      <c r="B1265" s="1638"/>
      <c r="C1265" s="1672" t="s">
        <v>4339</v>
      </c>
      <c r="D1265" s="1674" t="s">
        <v>2439</v>
      </c>
      <c r="E1265" s="2008" t="str">
        <f t="shared" ref="E1265:E1282" si="55">LEFT(A1265,2)</f>
        <v>CC</v>
      </c>
      <c r="F1265" s="54">
        <v>50</v>
      </c>
      <c r="G1265" s="54" t="s">
        <v>512</v>
      </c>
      <c r="J1265" s="54" t="str">
        <f t="shared" si="54"/>
        <v>CCĐfco</v>
      </c>
    </row>
    <row r="1266" spans="1:10" hidden="1">
      <c r="A1266" s="1671" t="s">
        <v>4348</v>
      </c>
      <c r="B1266" s="1638"/>
      <c r="C1266" s="1672" t="s">
        <v>4349</v>
      </c>
      <c r="D1266" s="1674" t="s">
        <v>2555</v>
      </c>
      <c r="E1266" s="2008" t="str">
        <f t="shared" si="55"/>
        <v>CC</v>
      </c>
      <c r="F1266" s="54">
        <v>50</v>
      </c>
      <c r="G1266" s="54" t="s">
        <v>512</v>
      </c>
      <c r="J1266" s="54" t="str">
        <f t="shared" si="54"/>
        <v>CCĐLA</v>
      </c>
    </row>
    <row r="1267" spans="1:10" hidden="1">
      <c r="A1267" s="1671" t="s">
        <v>4535</v>
      </c>
      <c r="B1267" s="1638"/>
      <c r="C1267" s="1672" t="s">
        <v>4536</v>
      </c>
      <c r="D1267" s="1674" t="s">
        <v>2555</v>
      </c>
      <c r="E1267" s="2008" t="str">
        <f>LEFT(A1267,2)</f>
        <v>CC</v>
      </c>
      <c r="F1267" s="54">
        <v>50</v>
      </c>
      <c r="G1267" s="54" t="s">
        <v>512</v>
      </c>
      <c r="J1267" s="54" t="str">
        <f t="shared" si="54"/>
        <v>CCDQU</v>
      </c>
    </row>
    <row r="1268" spans="1:10" hidden="1">
      <c r="A1268" s="1671" t="s">
        <v>4288</v>
      </c>
      <c r="B1268" s="1638"/>
      <c r="C1268" s="1672" t="s">
        <v>4872</v>
      </c>
      <c r="D1268" s="1674" t="s">
        <v>2439</v>
      </c>
      <c r="E1268" s="2008" t="str">
        <f t="shared" si="55"/>
        <v>TD</v>
      </c>
      <c r="F1268" s="54">
        <v>50</v>
      </c>
      <c r="G1268" s="54" t="s">
        <v>512</v>
      </c>
      <c r="J1268" s="54" t="str">
        <f t="shared" si="54"/>
        <v>TDLLCD</v>
      </c>
    </row>
    <row r="1269" spans="1:10">
      <c r="A1269" s="1671" t="s">
        <v>356</v>
      </c>
      <c r="B1269" s="75" t="s">
        <v>1133</v>
      </c>
      <c r="C1269" s="1646" t="s">
        <v>4335</v>
      </c>
      <c r="D1269" s="1674" t="s">
        <v>2442</v>
      </c>
      <c r="E1269" s="2008" t="str">
        <f t="shared" si="55"/>
        <v>PK</v>
      </c>
      <c r="F1269" s="54">
        <v>2000</v>
      </c>
      <c r="J1269" s="54" t="str">
        <f t="shared" si="54"/>
        <v>PK</v>
      </c>
    </row>
    <row r="1270" spans="1:10">
      <c r="A1270" s="1671" t="s">
        <v>357</v>
      </c>
      <c r="B1270" s="75" t="s">
        <v>1197</v>
      </c>
      <c r="C1270" s="1646" t="s">
        <v>2591</v>
      </c>
      <c r="D1270" s="1674" t="s">
        <v>2442</v>
      </c>
      <c r="E1270" s="2008" t="str">
        <f t="shared" si="55"/>
        <v>DA</v>
      </c>
      <c r="F1270" s="54">
        <v>2000</v>
      </c>
      <c r="J1270" s="54" t="str">
        <f t="shared" si="54"/>
        <v>DAY</v>
      </c>
    </row>
    <row r="1271" spans="1:10">
      <c r="A1271" s="1671" t="s">
        <v>606</v>
      </c>
      <c r="B1271" s="75" t="s">
        <v>1691</v>
      </c>
      <c r="C1271" s="1646" t="s">
        <v>4336</v>
      </c>
      <c r="D1271" s="1674" t="s">
        <v>2442</v>
      </c>
      <c r="E1271" s="2008" t="str">
        <f t="shared" si="55"/>
        <v>DC</v>
      </c>
      <c r="F1271" s="54">
        <v>2000</v>
      </c>
      <c r="J1271" s="54" t="str">
        <f t="shared" si="54"/>
        <v>DCTC</v>
      </c>
    </row>
    <row r="1272" spans="1:10">
      <c r="A1272" s="1671" t="s">
        <v>17</v>
      </c>
      <c r="B1272" s="75" t="s">
        <v>1209</v>
      </c>
      <c r="C1272" s="1646" t="s">
        <v>2579</v>
      </c>
      <c r="D1272" s="1674" t="s">
        <v>2442</v>
      </c>
      <c r="E1272" s="2008" t="str">
        <f t="shared" si="55"/>
        <v>TH</v>
      </c>
      <c r="F1272" s="54">
        <v>2000</v>
      </c>
      <c r="J1272" s="54" t="str">
        <f t="shared" si="54"/>
        <v>THEP</v>
      </c>
    </row>
    <row r="1273" spans="1:10">
      <c r="A1273" s="1671" t="s">
        <v>18</v>
      </c>
      <c r="B1273" s="75" t="s">
        <v>496</v>
      </c>
      <c r="C1273" s="1646" t="s">
        <v>2580</v>
      </c>
      <c r="D1273" s="1674" t="s">
        <v>2442</v>
      </c>
      <c r="E1273" s="2008" t="str">
        <f t="shared" si="55"/>
        <v>XI</v>
      </c>
      <c r="F1273" s="54">
        <v>2000</v>
      </c>
      <c r="J1273" s="54" t="str">
        <f t="shared" si="54"/>
        <v>XIMANG</v>
      </c>
    </row>
    <row r="1274" spans="1:10">
      <c r="A1274" s="1671" t="s">
        <v>4410</v>
      </c>
      <c r="B1274" s="75" t="s">
        <v>1117</v>
      </c>
      <c r="C1274" s="1646" t="s">
        <v>2581</v>
      </c>
      <c r="D1274" s="1674" t="s">
        <v>856</v>
      </c>
      <c r="E1274" s="2008" t="str">
        <f t="shared" si="55"/>
        <v>vc</v>
      </c>
      <c r="F1274" s="54">
        <v>2000</v>
      </c>
      <c r="J1274" s="54" t="str">
        <f t="shared" si="54"/>
        <v>vcCAT</v>
      </c>
    </row>
    <row r="1275" spans="1:10">
      <c r="A1275" s="1671" t="s">
        <v>20</v>
      </c>
      <c r="B1275" s="75" t="s">
        <v>808</v>
      </c>
      <c r="C1275" s="1646" t="s">
        <v>2582</v>
      </c>
      <c r="D1275" s="1674" t="s">
        <v>856</v>
      </c>
      <c r="E1275" s="2008" t="str">
        <f t="shared" si="55"/>
        <v>DA</v>
      </c>
      <c r="F1275" s="54">
        <v>2000</v>
      </c>
      <c r="J1275" s="54" t="str">
        <f t="shared" si="54"/>
        <v>DADAM</v>
      </c>
    </row>
    <row r="1276" spans="1:10">
      <c r="A1276" s="1671" t="s">
        <v>4408</v>
      </c>
      <c r="B1276" s="75" t="s">
        <v>556</v>
      </c>
      <c r="C1276" s="1646" t="s">
        <v>2583</v>
      </c>
      <c r="D1276" s="1674" t="s">
        <v>2442</v>
      </c>
      <c r="E1276" s="2008" t="str">
        <f t="shared" si="55"/>
        <v>DA</v>
      </c>
      <c r="F1276" s="54">
        <v>2000</v>
      </c>
      <c r="J1276" s="54" t="str">
        <f t="shared" si="54"/>
        <v>DA</v>
      </c>
    </row>
    <row r="1277" spans="1:10">
      <c r="A1277" s="1671" t="s">
        <v>1903</v>
      </c>
      <c r="B1277" s="75" t="s">
        <v>1209</v>
      </c>
      <c r="C1277" s="1646" t="s">
        <v>2584</v>
      </c>
      <c r="D1277" s="1674" t="s">
        <v>2442</v>
      </c>
      <c r="E1277" s="2008" t="str">
        <f t="shared" si="55"/>
        <v>TD</v>
      </c>
      <c r="F1277" s="54">
        <v>2000</v>
      </c>
      <c r="J1277" s="54" t="str">
        <f t="shared" si="54"/>
        <v>TD</v>
      </c>
    </row>
    <row r="1278" spans="1:10">
      <c r="A1278" s="1671" t="s">
        <v>605</v>
      </c>
      <c r="B1278" s="75" t="s">
        <v>556</v>
      </c>
      <c r="C1278" s="1646" t="s">
        <v>2585</v>
      </c>
      <c r="D1278" s="1674" t="s">
        <v>2442</v>
      </c>
      <c r="E1278" s="2008" t="str">
        <f t="shared" si="55"/>
        <v>DN</v>
      </c>
      <c r="F1278" s="54">
        <v>2000</v>
      </c>
      <c r="J1278" s="54" t="str">
        <f t="shared" si="54"/>
        <v>DN</v>
      </c>
    </row>
    <row r="1279" spans="1:10">
      <c r="A1279" s="1671" t="s">
        <v>4411</v>
      </c>
      <c r="B1279" s="75" t="s">
        <v>1133</v>
      </c>
      <c r="C1279" s="1646" t="s">
        <v>2586</v>
      </c>
      <c r="D1279" s="1674" t="s">
        <v>2442</v>
      </c>
      <c r="E1279" s="2008" t="str">
        <f t="shared" si="55"/>
        <v>vc</v>
      </c>
      <c r="F1279" s="54">
        <v>2000</v>
      </c>
      <c r="J1279" s="54" t="str">
        <f t="shared" si="54"/>
        <v>vcNX</v>
      </c>
    </row>
    <row r="1280" spans="1:10">
      <c r="A1280" s="1671" t="s">
        <v>1199</v>
      </c>
      <c r="B1280" s="75" t="s">
        <v>2236</v>
      </c>
      <c r="C1280" s="1646" t="s">
        <v>2587</v>
      </c>
      <c r="D1280" s="1674" t="s">
        <v>2442</v>
      </c>
      <c r="E1280" s="2008" t="str">
        <f t="shared" si="55"/>
        <v>CO</v>
      </c>
      <c r="F1280" s="54">
        <v>2000</v>
      </c>
      <c r="J1280" s="54" t="str">
        <f t="shared" si="54"/>
        <v>COT</v>
      </c>
    </row>
    <row r="1281" spans="1:10">
      <c r="A1281" s="1671" t="s">
        <v>1997</v>
      </c>
      <c r="B1281" s="75" t="s">
        <v>1607</v>
      </c>
      <c r="C1281" s="1646" t="s">
        <v>2443</v>
      </c>
      <c r="D1281" s="1674" t="s">
        <v>2442</v>
      </c>
      <c r="E1281" s="2008" t="str">
        <f t="shared" si="55"/>
        <v>XA</v>
      </c>
      <c r="F1281" s="54">
        <v>2000</v>
      </c>
      <c r="J1281" s="54" t="str">
        <f t="shared" si="54"/>
        <v>XA</v>
      </c>
    </row>
    <row r="1282" spans="1:10">
      <c r="A1282" s="1671" t="s">
        <v>634</v>
      </c>
      <c r="B1282" s="75" t="s">
        <v>716</v>
      </c>
      <c r="C1282" s="1646" t="s">
        <v>2589</v>
      </c>
      <c r="D1282" s="1674" t="s">
        <v>2590</v>
      </c>
      <c r="E1282" s="2008" t="str">
        <f t="shared" si="55"/>
        <v>ct</v>
      </c>
      <c r="F1282" s="54">
        <v>2000</v>
      </c>
      <c r="J1282" s="54" t="str">
        <f t="shared" si="54"/>
        <v>ctram</v>
      </c>
    </row>
    <row r="1283" spans="1:10" hidden="1">
      <c r="A1283" s="1655" t="s">
        <v>4989</v>
      </c>
      <c r="C1283" s="1655" t="s">
        <v>4982</v>
      </c>
      <c r="D1283" s="54" t="s">
        <v>2385</v>
      </c>
      <c r="F1283" s="54">
        <v>50</v>
      </c>
      <c r="J1283" s="54" t="str">
        <f t="shared" si="54"/>
        <v>CD114dd23</v>
      </c>
    </row>
    <row r="1284" spans="1:10" hidden="1">
      <c r="A1284" s="1655" t="s">
        <v>4990</v>
      </c>
      <c r="C1284" s="1655" t="s">
        <v>4983</v>
      </c>
      <c r="D1284" s="54" t="s">
        <v>2385</v>
      </c>
      <c r="F1284" s="54">
        <v>50</v>
      </c>
      <c r="J1284" s="54" t="str">
        <f t="shared" si="54"/>
        <v>CD114dd28</v>
      </c>
    </row>
    <row r="1285" spans="1:10" hidden="1">
      <c r="A1285" s="1655" t="s">
        <v>87</v>
      </c>
      <c r="C1285" s="1655" t="s">
        <v>2326</v>
      </c>
      <c r="D1285" s="54" t="s">
        <v>2327</v>
      </c>
      <c r="F1285" s="54">
        <v>2000</v>
      </c>
      <c r="J1285" s="54" t="str">
        <f t="shared" si="54"/>
        <v>M7</v>
      </c>
    </row>
    <row r="1286" spans="1:10" hidden="1">
      <c r="A1286" s="1655" t="s">
        <v>102</v>
      </c>
      <c r="C1286" s="1655" t="s">
        <v>2328</v>
      </c>
      <c r="D1286" s="54" t="s">
        <v>2327</v>
      </c>
      <c r="F1286" s="54">
        <v>2000</v>
      </c>
      <c r="J1286" s="54" t="str">
        <f t="shared" si="54"/>
        <v>M7a</v>
      </c>
    </row>
    <row r="1287" spans="1:10" hidden="1">
      <c r="A1287" s="1655" t="s">
        <v>762</v>
      </c>
      <c r="C1287" s="1655" t="s">
        <v>2329</v>
      </c>
      <c r="D1287" s="54" t="s">
        <v>2327</v>
      </c>
      <c r="F1287" s="54">
        <v>2000</v>
      </c>
      <c r="J1287" s="54" t="str">
        <f t="shared" si="54"/>
        <v>M7b</v>
      </c>
    </row>
    <row r="1288" spans="1:10" hidden="1">
      <c r="A1288" s="1655" t="s">
        <v>761</v>
      </c>
      <c r="C1288" s="1655" t="s">
        <v>2330</v>
      </c>
      <c r="D1288" s="54" t="s">
        <v>2327</v>
      </c>
      <c r="F1288" s="54">
        <v>2000</v>
      </c>
      <c r="J1288" s="54" t="str">
        <f t="shared" si="54"/>
        <v>M7aa</v>
      </c>
    </row>
    <row r="1289" spans="1:10" hidden="1">
      <c r="A1289" s="1655" t="s">
        <v>443</v>
      </c>
      <c r="C1289" s="1655" t="s">
        <v>2331</v>
      </c>
      <c r="D1289" s="54" t="s">
        <v>2327</v>
      </c>
      <c r="F1289" s="54">
        <v>2000</v>
      </c>
      <c r="J1289" s="54" t="str">
        <f t="shared" si="54"/>
        <v>M7ba</v>
      </c>
    </row>
    <row r="1290" spans="1:10" hidden="1">
      <c r="A1290" s="1655" t="s">
        <v>444</v>
      </c>
      <c r="C1290" s="1655" t="s">
        <v>2332</v>
      </c>
      <c r="D1290" s="54" t="s">
        <v>2327</v>
      </c>
      <c r="F1290" s="54">
        <v>2000</v>
      </c>
      <c r="J1290" s="54" t="str">
        <f t="shared" si="54"/>
        <v>M7-2a</v>
      </c>
    </row>
    <row r="1291" spans="1:10" hidden="1">
      <c r="A1291" s="1655" t="s">
        <v>958</v>
      </c>
      <c r="C1291" s="1655" t="s">
        <v>2333</v>
      </c>
      <c r="D1291" s="54" t="s">
        <v>2327</v>
      </c>
      <c r="F1291" s="54">
        <v>2000</v>
      </c>
      <c r="J1291" s="54" t="str">
        <f t="shared" si="54"/>
        <v>M8</v>
      </c>
    </row>
    <row r="1292" spans="1:10" hidden="1">
      <c r="A1292" s="1655" t="s">
        <v>2176</v>
      </c>
      <c r="C1292" s="1655" t="s">
        <v>2334</v>
      </c>
      <c r="D1292" s="54" t="s">
        <v>2327</v>
      </c>
      <c r="F1292" s="54">
        <v>2000</v>
      </c>
      <c r="J1292" s="54" t="str">
        <f t="shared" si="54"/>
        <v>M8a</v>
      </c>
    </row>
    <row r="1293" spans="1:10" hidden="1">
      <c r="A1293" s="1655" t="s">
        <v>2315</v>
      </c>
      <c r="C1293" s="1655" t="s">
        <v>2335</v>
      </c>
      <c r="D1293" s="54" t="s">
        <v>2327</v>
      </c>
      <c r="F1293" s="54">
        <v>2000</v>
      </c>
      <c r="J1293" s="54" t="str">
        <f t="shared" si="54"/>
        <v>M8BT Đơn</v>
      </c>
    </row>
    <row r="1294" spans="1:10" hidden="1">
      <c r="A1294" s="1655" t="s">
        <v>4126</v>
      </c>
      <c r="C1294" s="1655" t="s">
        <v>4287</v>
      </c>
      <c r="D1294" s="54" t="s">
        <v>2327</v>
      </c>
      <c r="F1294" s="54">
        <v>2000</v>
      </c>
      <c r="J1294" s="54" t="str">
        <f t="shared" si="54"/>
        <v>M7BT Đôi</v>
      </c>
    </row>
    <row r="1295" spans="1:10" hidden="1">
      <c r="A1295" s="1655" t="s">
        <v>234</v>
      </c>
      <c r="C1295" s="1655" t="s">
        <v>2336</v>
      </c>
      <c r="D1295" s="54" t="s">
        <v>2327</v>
      </c>
      <c r="F1295" s="54">
        <v>2000</v>
      </c>
      <c r="J1295" s="54" t="str">
        <f t="shared" si="54"/>
        <v>M8b</v>
      </c>
    </row>
    <row r="1296" spans="1:10" hidden="1">
      <c r="A1296" s="1655" t="s">
        <v>2177</v>
      </c>
      <c r="C1296" s="1655" t="s">
        <v>2337</v>
      </c>
      <c r="D1296" s="54" t="s">
        <v>2327</v>
      </c>
      <c r="F1296" s="54">
        <v>2000</v>
      </c>
      <c r="J1296" s="54" t="str">
        <f t="shared" ref="J1296:J1365" si="56">A1296</f>
        <v>M8aa</v>
      </c>
    </row>
    <row r="1297" spans="1:10" hidden="1">
      <c r="A1297" s="1655" t="s">
        <v>932</v>
      </c>
      <c r="C1297" s="1655" t="s">
        <v>2338</v>
      </c>
      <c r="D1297" s="54" t="s">
        <v>2327</v>
      </c>
      <c r="F1297" s="54">
        <v>2000</v>
      </c>
      <c r="J1297" s="54" t="str">
        <f t="shared" si="56"/>
        <v>M8ba</v>
      </c>
    </row>
    <row r="1298" spans="1:10" s="2989" customFormat="1" hidden="1">
      <c r="A1298" s="2997" t="s">
        <v>2313</v>
      </c>
      <c r="B1298" s="2996"/>
      <c r="C1298" s="2997" t="s">
        <v>6564</v>
      </c>
      <c r="D1298" s="2989" t="s">
        <v>2327</v>
      </c>
      <c r="E1298" s="2999"/>
      <c r="F1298" s="2989">
        <v>2000</v>
      </c>
      <c r="J1298" s="2989" t="str">
        <f t="shared" ref="J1298" si="57">A1298</f>
        <v>M8BT Đôi</v>
      </c>
    </row>
    <row r="1299" spans="1:10" hidden="1">
      <c r="A1299" s="1655" t="s">
        <v>933</v>
      </c>
      <c r="C1299" s="1655" t="s">
        <v>2339</v>
      </c>
      <c r="D1299" s="54" t="s">
        <v>2327</v>
      </c>
      <c r="F1299" s="54">
        <v>2000</v>
      </c>
      <c r="J1299" s="54" t="str">
        <f t="shared" si="56"/>
        <v>M8bb</v>
      </c>
    </row>
    <row r="1300" spans="1:10" hidden="1">
      <c r="A1300" s="1655" t="s">
        <v>2178</v>
      </c>
      <c r="C1300" s="1655" t="s">
        <v>2340</v>
      </c>
      <c r="D1300" s="54" t="s">
        <v>2327</v>
      </c>
      <c r="F1300" s="54">
        <v>2000</v>
      </c>
      <c r="J1300" s="54" t="str">
        <f t="shared" si="56"/>
        <v>M8-2a</v>
      </c>
    </row>
    <row r="1301" spans="1:10" hidden="1">
      <c r="A1301" s="1655" t="s">
        <v>12</v>
      </c>
      <c r="C1301" s="1655" t="s">
        <v>2341</v>
      </c>
      <c r="D1301" s="54" t="s">
        <v>2327</v>
      </c>
      <c r="F1301" s="54">
        <v>2000</v>
      </c>
      <c r="J1301" s="54" t="str">
        <f t="shared" si="56"/>
        <v>M10</v>
      </c>
    </row>
    <row r="1302" spans="1:10" hidden="1">
      <c r="A1302" s="1655" t="s">
        <v>695</v>
      </c>
      <c r="C1302" s="1655" t="s">
        <v>2342</v>
      </c>
      <c r="D1302" s="54" t="s">
        <v>2327</v>
      </c>
      <c r="F1302" s="54">
        <v>2000</v>
      </c>
      <c r="J1302" s="54" t="str">
        <f t="shared" si="56"/>
        <v>M10a</v>
      </c>
    </row>
    <row r="1303" spans="1:10" hidden="1">
      <c r="A1303" s="1655" t="s">
        <v>994</v>
      </c>
      <c r="C1303" s="1655" t="s">
        <v>2343</v>
      </c>
      <c r="D1303" s="54" t="s">
        <v>2327</v>
      </c>
      <c r="F1303" s="54">
        <v>2000</v>
      </c>
      <c r="J1303" s="54" t="str">
        <f t="shared" si="56"/>
        <v>M10b</v>
      </c>
    </row>
    <row r="1304" spans="1:10" hidden="1">
      <c r="A1304" s="1655" t="s">
        <v>2303</v>
      </c>
      <c r="C1304" s="1655" t="s">
        <v>2344</v>
      </c>
      <c r="D1304" s="54" t="s">
        <v>2327</v>
      </c>
      <c r="F1304" s="54">
        <v>2000</v>
      </c>
      <c r="J1304" s="54" t="str">
        <f t="shared" si="56"/>
        <v>M10BT ĐƠN</v>
      </c>
    </row>
    <row r="1305" spans="1:10" hidden="1">
      <c r="A1305" s="1655" t="s">
        <v>100</v>
      </c>
      <c r="C1305" s="1655" t="s">
        <v>2345</v>
      </c>
      <c r="D1305" s="54" t="s">
        <v>2327</v>
      </c>
      <c r="F1305" s="54">
        <v>2000</v>
      </c>
      <c r="J1305" s="54" t="str">
        <f t="shared" si="56"/>
        <v>M10aa</v>
      </c>
    </row>
    <row r="1306" spans="1:10" hidden="1">
      <c r="A1306" s="1655" t="s">
        <v>833</v>
      </c>
      <c r="C1306" s="1655" t="s">
        <v>2346</v>
      </c>
      <c r="D1306" s="54" t="s">
        <v>2327</v>
      </c>
      <c r="F1306" s="54">
        <v>2000</v>
      </c>
      <c r="J1306" s="54" t="str">
        <f t="shared" si="56"/>
        <v>M10ba</v>
      </c>
    </row>
    <row r="1307" spans="1:10" hidden="1">
      <c r="A1307" s="1655" t="s">
        <v>834</v>
      </c>
      <c r="C1307" s="1655" t="s">
        <v>2347</v>
      </c>
      <c r="D1307" s="54" t="s">
        <v>2327</v>
      </c>
      <c r="F1307" s="54">
        <v>2000</v>
      </c>
      <c r="J1307" s="54" t="str">
        <f t="shared" si="56"/>
        <v>M10bb</v>
      </c>
    </row>
    <row r="1308" spans="1:10" hidden="1">
      <c r="A1308" s="1655" t="s">
        <v>286</v>
      </c>
      <c r="C1308" s="1655" t="s">
        <v>2348</v>
      </c>
      <c r="D1308" s="54" t="s">
        <v>2327</v>
      </c>
      <c r="F1308" s="54">
        <v>2000</v>
      </c>
      <c r="J1308" s="54" t="str">
        <f t="shared" si="56"/>
        <v>M10-2bn</v>
      </c>
    </row>
    <row r="1309" spans="1:10" hidden="1">
      <c r="A1309" s="1655" t="s">
        <v>832</v>
      </c>
      <c r="C1309" s="1655" t="s">
        <v>2349</v>
      </c>
      <c r="D1309" s="54" t="s">
        <v>2327</v>
      </c>
      <c r="F1309" s="54">
        <v>2000</v>
      </c>
      <c r="J1309" s="54" t="str">
        <f t="shared" si="56"/>
        <v>M10-2a</v>
      </c>
    </row>
    <row r="1310" spans="1:10" hidden="1">
      <c r="A1310" s="1655" t="s">
        <v>760</v>
      </c>
      <c r="C1310" s="1655" t="s">
        <v>2350</v>
      </c>
      <c r="D1310" s="54" t="s">
        <v>2327</v>
      </c>
      <c r="F1310" s="54">
        <v>2000</v>
      </c>
      <c r="J1310" s="54" t="str">
        <f t="shared" si="56"/>
        <v>M10-2b</v>
      </c>
    </row>
    <row r="1311" spans="1:10" hidden="1">
      <c r="A1311" s="1655" t="s">
        <v>219</v>
      </c>
      <c r="C1311" s="1655" t="s">
        <v>2351</v>
      </c>
      <c r="D1311" s="54" t="s">
        <v>2327</v>
      </c>
      <c r="F1311" s="54">
        <v>2000</v>
      </c>
      <c r="J1311" s="54" t="str">
        <f t="shared" si="56"/>
        <v>M12</v>
      </c>
    </row>
    <row r="1312" spans="1:10" hidden="1">
      <c r="A1312" s="1655" t="s">
        <v>303</v>
      </c>
      <c r="C1312" s="1655" t="s">
        <v>2352</v>
      </c>
      <c r="D1312" s="54" t="s">
        <v>2327</v>
      </c>
      <c r="F1312" s="54">
        <v>2000</v>
      </c>
      <c r="J1312" s="54" t="str">
        <f t="shared" si="56"/>
        <v>M12a</v>
      </c>
    </row>
    <row r="1313" spans="1:10" hidden="1">
      <c r="A1313" s="1655" t="s">
        <v>2263</v>
      </c>
      <c r="C1313" s="1655" t="s">
        <v>2353</v>
      </c>
      <c r="D1313" s="54" t="s">
        <v>2327</v>
      </c>
      <c r="F1313" s="54">
        <v>2000</v>
      </c>
      <c r="J1313" s="54" t="str">
        <f t="shared" si="56"/>
        <v>M12b</v>
      </c>
    </row>
    <row r="1314" spans="1:10" hidden="1">
      <c r="A1314" s="1655" t="s">
        <v>304</v>
      </c>
      <c r="C1314" s="1655" t="s">
        <v>2354</v>
      </c>
      <c r="D1314" s="54" t="s">
        <v>2327</v>
      </c>
      <c r="F1314" s="54">
        <v>2000</v>
      </c>
      <c r="J1314" s="54" t="str">
        <f t="shared" si="56"/>
        <v>M12aa</v>
      </c>
    </row>
    <row r="1315" spans="1:10" hidden="1">
      <c r="A1315" s="1655" t="s">
        <v>638</v>
      </c>
      <c r="C1315" s="1655" t="s">
        <v>2355</v>
      </c>
      <c r="D1315" s="54" t="s">
        <v>2327</v>
      </c>
      <c r="F1315" s="54">
        <v>2000</v>
      </c>
      <c r="J1315" s="54" t="str">
        <f t="shared" si="56"/>
        <v>M12ba</v>
      </c>
    </row>
    <row r="1316" spans="1:10" hidden="1">
      <c r="A1316" s="1655" t="s">
        <v>647</v>
      </c>
      <c r="C1316" s="1655" t="s">
        <v>2356</v>
      </c>
      <c r="D1316" s="54" t="s">
        <v>2327</v>
      </c>
      <c r="F1316" s="54">
        <v>2000</v>
      </c>
      <c r="J1316" s="54" t="str">
        <f t="shared" si="56"/>
        <v>M12bb</v>
      </c>
    </row>
    <row r="1317" spans="1:10" hidden="1">
      <c r="A1317" s="1655" t="s">
        <v>511</v>
      </c>
      <c r="C1317" s="1655" t="s">
        <v>2357</v>
      </c>
      <c r="D1317" s="54" t="s">
        <v>2327</v>
      </c>
      <c r="F1317" s="54">
        <v>2000</v>
      </c>
      <c r="J1317" s="54" t="str">
        <f t="shared" si="56"/>
        <v>M12-2bn</v>
      </c>
    </row>
    <row r="1318" spans="1:10" hidden="1">
      <c r="A1318" s="1655" t="s">
        <v>646</v>
      </c>
      <c r="C1318" s="1655" t="s">
        <v>2358</v>
      </c>
      <c r="D1318" s="54" t="s">
        <v>2327</v>
      </c>
      <c r="F1318" s="54">
        <v>2000</v>
      </c>
      <c r="J1318" s="54" t="str">
        <f t="shared" si="56"/>
        <v>M12-2a</v>
      </c>
    </row>
    <row r="1319" spans="1:10" hidden="1">
      <c r="A1319" s="1655" t="s">
        <v>1901</v>
      </c>
      <c r="C1319" s="1655" t="s">
        <v>2359</v>
      </c>
      <c r="D1319" s="54" t="s">
        <v>2327</v>
      </c>
      <c r="F1319" s="54">
        <v>2000</v>
      </c>
      <c r="J1319" s="54" t="str">
        <f t="shared" si="56"/>
        <v>M12-2b</v>
      </c>
    </row>
    <row r="1320" spans="1:10" hidden="1">
      <c r="A1320" s="1655" t="s">
        <v>2180</v>
      </c>
      <c r="C1320" s="1655" t="s">
        <v>2360</v>
      </c>
      <c r="D1320" s="54" t="s">
        <v>2327</v>
      </c>
      <c r="F1320" s="54">
        <v>2000</v>
      </c>
      <c r="J1320" s="54" t="str">
        <f t="shared" si="56"/>
        <v>M12b-aa(hh)</v>
      </c>
    </row>
    <row r="1321" spans="1:10" hidden="1">
      <c r="A1321" s="1655" t="s">
        <v>500</v>
      </c>
      <c r="C1321" s="1655" t="s">
        <v>2361</v>
      </c>
      <c r="D1321" s="54" t="s">
        <v>2327</v>
      </c>
      <c r="F1321" s="54">
        <v>2000</v>
      </c>
      <c r="J1321" s="54" t="str">
        <f t="shared" si="56"/>
        <v>M12b-2a(hh)</v>
      </c>
    </row>
    <row r="1322" spans="1:10" hidden="1">
      <c r="A1322" s="1655" t="s">
        <v>2304</v>
      </c>
      <c r="C1322" s="1655" t="s">
        <v>2362</v>
      </c>
      <c r="D1322" s="54" t="s">
        <v>2327</v>
      </c>
      <c r="F1322" s="54">
        <v>2000</v>
      </c>
      <c r="J1322" s="54" t="str">
        <f t="shared" si="56"/>
        <v>M12 PĐ</v>
      </c>
    </row>
    <row r="1323" spans="1:10" hidden="1">
      <c r="A1323" s="1655" t="s">
        <v>2305</v>
      </c>
      <c r="C1323" s="1655" t="s">
        <v>2363</v>
      </c>
      <c r="D1323" s="54" t="s">
        <v>2327</v>
      </c>
      <c r="F1323" s="54">
        <v>2000</v>
      </c>
      <c r="J1323" s="54" t="str">
        <f t="shared" si="56"/>
        <v>M12BT ĐƠN</v>
      </c>
    </row>
    <row r="1324" spans="1:10" hidden="1">
      <c r="A1324" s="1655" t="s">
        <v>2306</v>
      </c>
      <c r="C1324" s="1655" t="s">
        <v>2364</v>
      </c>
      <c r="D1324" s="54" t="s">
        <v>2327</v>
      </c>
      <c r="F1324" s="54">
        <v>2000</v>
      </c>
      <c r="J1324" s="54" t="str">
        <f t="shared" si="56"/>
        <v>M12BT ĐÔI</v>
      </c>
    </row>
    <row r="1325" spans="1:10" hidden="1">
      <c r="A1325" s="1655" t="s">
        <v>744</v>
      </c>
      <c r="C1325" s="1655" t="s">
        <v>2365</v>
      </c>
      <c r="D1325" s="54" t="s">
        <v>2327</v>
      </c>
      <c r="F1325" s="54">
        <v>2000</v>
      </c>
      <c r="J1325" s="54" t="str">
        <f t="shared" si="56"/>
        <v>M12 CN</v>
      </c>
    </row>
    <row r="1326" spans="1:10" hidden="1">
      <c r="A1326" s="1655" t="s">
        <v>2264</v>
      </c>
      <c r="C1326" s="1655" t="s">
        <v>2367</v>
      </c>
      <c r="D1326" s="54" t="s">
        <v>2327</v>
      </c>
      <c r="F1326" s="54">
        <v>2000</v>
      </c>
      <c r="J1326" s="54" t="str">
        <f t="shared" si="56"/>
        <v>M12BT P500</v>
      </c>
    </row>
    <row r="1327" spans="1:10" hidden="1">
      <c r="A1327" s="1655" t="s">
        <v>780</v>
      </c>
      <c r="C1327" s="1655" t="s">
        <v>2368</v>
      </c>
      <c r="D1327" s="54" t="s">
        <v>2327</v>
      </c>
      <c r="F1327" s="54">
        <v>2000</v>
      </c>
      <c r="J1327" s="54" t="str">
        <f t="shared" si="56"/>
        <v>M14</v>
      </c>
    </row>
    <row r="1328" spans="1:10" hidden="1">
      <c r="A1328" s="1655" t="s">
        <v>648</v>
      </c>
      <c r="C1328" s="1655" t="s">
        <v>2369</v>
      </c>
      <c r="D1328" s="54" t="s">
        <v>2327</v>
      </c>
      <c r="F1328" s="54">
        <v>2000</v>
      </c>
      <c r="J1328" s="54" t="str">
        <f t="shared" si="56"/>
        <v>M14a</v>
      </c>
    </row>
    <row r="1329" spans="1:10" hidden="1">
      <c r="A1329" s="1655" t="s">
        <v>750</v>
      </c>
      <c r="C1329" s="1655" t="s">
        <v>2370</v>
      </c>
      <c r="D1329" s="54" t="s">
        <v>2327</v>
      </c>
      <c r="F1329" s="54">
        <v>2000</v>
      </c>
      <c r="J1329" s="54" t="str">
        <f t="shared" si="56"/>
        <v>M14b</v>
      </c>
    </row>
    <row r="1330" spans="1:10" hidden="1">
      <c r="A1330" s="1655" t="s">
        <v>2307</v>
      </c>
      <c r="C1330" s="1655" t="s">
        <v>2371</v>
      </c>
      <c r="D1330" s="54" t="s">
        <v>2327</v>
      </c>
      <c r="F1330" s="54">
        <v>2000</v>
      </c>
      <c r="J1330" s="54" t="str">
        <f t="shared" si="56"/>
        <v>M14BT ĐƠN</v>
      </c>
    </row>
    <row r="1331" spans="1:10" hidden="1">
      <c r="A1331" s="1655" t="s">
        <v>6516</v>
      </c>
      <c r="C1331" s="1655" t="s">
        <v>6517</v>
      </c>
      <c r="D1331" s="54" t="s">
        <v>2327</v>
      </c>
      <c r="F1331" s="54">
        <v>2000</v>
      </c>
      <c r="J1331" s="54" t="str">
        <f t="shared" ref="J1331:J1332" si="58">A1331</f>
        <v>M14BT Đôi</v>
      </c>
    </row>
    <row r="1332" spans="1:10" hidden="1">
      <c r="A1332" s="1655" t="s">
        <v>6431</v>
      </c>
      <c r="C1332" s="1655" t="s">
        <v>6432</v>
      </c>
      <c r="D1332" s="54" t="s">
        <v>2327</v>
      </c>
      <c r="F1332" s="54">
        <v>2000</v>
      </c>
      <c r="J1332" s="54" t="str">
        <f t="shared" si="58"/>
        <v>MTuBu</v>
      </c>
    </row>
    <row r="1333" spans="1:10" hidden="1">
      <c r="A1333" s="1655" t="s">
        <v>6464</v>
      </c>
      <c r="C1333" s="1655" t="s">
        <v>6465</v>
      </c>
      <c r="D1333" s="54" t="s">
        <v>2327</v>
      </c>
      <c r="F1333" s="54">
        <v>2000</v>
      </c>
      <c r="J1333" s="54" t="str">
        <f t="shared" si="56"/>
        <v>M-TBA</v>
      </c>
    </row>
    <row r="1334" spans="1:10" hidden="1">
      <c r="A1334" s="1655" t="s">
        <v>649</v>
      </c>
      <c r="C1334" s="1655" t="s">
        <v>2372</v>
      </c>
      <c r="D1334" s="54" t="s">
        <v>2327</v>
      </c>
      <c r="F1334" s="54">
        <v>2000</v>
      </c>
      <c r="J1334" s="54" t="str">
        <f t="shared" si="56"/>
        <v>M14aa</v>
      </c>
    </row>
    <row r="1335" spans="1:10" hidden="1">
      <c r="A1335" s="1655" t="s">
        <v>483</v>
      </c>
      <c r="C1335" s="1655" t="s">
        <v>2373</v>
      </c>
      <c r="D1335" s="54" t="s">
        <v>2327</v>
      </c>
      <c r="F1335" s="54">
        <v>2000</v>
      </c>
      <c r="J1335" s="54" t="str">
        <f t="shared" si="56"/>
        <v>M14ba</v>
      </c>
    </row>
    <row r="1336" spans="1:10" hidden="1">
      <c r="A1336" s="1655" t="s">
        <v>484</v>
      </c>
      <c r="C1336" s="1655" t="s">
        <v>2374</v>
      </c>
      <c r="D1336" s="54" t="s">
        <v>2327</v>
      </c>
      <c r="F1336" s="54">
        <v>2000</v>
      </c>
      <c r="J1336" s="54" t="str">
        <f t="shared" si="56"/>
        <v>M14bb</v>
      </c>
    </row>
    <row r="1337" spans="1:10" hidden="1">
      <c r="A1337" s="1655" t="s">
        <v>285</v>
      </c>
      <c r="C1337" s="1655" t="s">
        <v>2375</v>
      </c>
      <c r="D1337" s="54" t="s">
        <v>2327</v>
      </c>
      <c r="F1337" s="54">
        <v>2000</v>
      </c>
      <c r="J1337" s="54" t="str">
        <f t="shared" si="56"/>
        <v>M14-2bn</v>
      </c>
    </row>
    <row r="1338" spans="1:10" hidden="1">
      <c r="A1338" s="1655" t="s">
        <v>650</v>
      </c>
      <c r="C1338" s="1655" t="s">
        <v>2376</v>
      </c>
      <c r="D1338" s="54" t="s">
        <v>2327</v>
      </c>
      <c r="F1338" s="54">
        <v>2000</v>
      </c>
      <c r="J1338" s="54" t="str">
        <f t="shared" si="56"/>
        <v>M14-2a</v>
      </c>
    </row>
    <row r="1339" spans="1:10" hidden="1">
      <c r="A1339" s="1655" t="s">
        <v>1642</v>
      </c>
      <c r="C1339" s="1655" t="s">
        <v>2377</v>
      </c>
      <c r="D1339" s="54" t="s">
        <v>2327</v>
      </c>
      <c r="F1339" s="54">
        <v>2000</v>
      </c>
      <c r="J1339" s="54" t="str">
        <f t="shared" si="56"/>
        <v>M14-2b</v>
      </c>
    </row>
    <row r="1340" spans="1:10" hidden="1">
      <c r="A1340" s="1655" t="s">
        <v>987</v>
      </c>
      <c r="C1340" s="1655" t="s">
        <v>2378</v>
      </c>
      <c r="D1340" s="54" t="s">
        <v>2327</v>
      </c>
      <c r="F1340" s="54">
        <v>2000</v>
      </c>
      <c r="J1340" s="54" t="str">
        <f t="shared" si="56"/>
        <v>M14-4b</v>
      </c>
    </row>
    <row r="1341" spans="1:10" hidden="1">
      <c r="A1341" s="1655" t="s">
        <v>312</v>
      </c>
      <c r="C1341" s="1655" t="s">
        <v>2379</v>
      </c>
      <c r="D1341" s="54" t="s">
        <v>2327</v>
      </c>
      <c r="F1341" s="54">
        <v>2000</v>
      </c>
      <c r="J1341" s="54" t="str">
        <f t="shared" si="56"/>
        <v>BTCL-14-500</v>
      </c>
    </row>
    <row r="1342" spans="1:10" hidden="1">
      <c r="A1342" s="1655" t="s">
        <v>891</v>
      </c>
      <c r="C1342" s="1655" t="s">
        <v>2380</v>
      </c>
      <c r="D1342" s="54" t="s">
        <v>2327</v>
      </c>
      <c r="F1342" s="54">
        <v>2000</v>
      </c>
      <c r="J1342" s="54" t="str">
        <f t="shared" si="56"/>
        <v>M20-4b</v>
      </c>
    </row>
    <row r="1343" spans="1:10" hidden="1">
      <c r="A1343" s="1655" t="s">
        <v>513</v>
      </c>
      <c r="C1343" s="1655" t="s">
        <v>2381</v>
      </c>
      <c r="D1343" s="54" t="s">
        <v>2382</v>
      </c>
      <c r="F1343" s="54">
        <v>2000</v>
      </c>
      <c r="J1343" s="54" t="str">
        <f t="shared" si="56"/>
        <v>MTUPP</v>
      </c>
    </row>
    <row r="1344" spans="1:10" hidden="1">
      <c r="A1344" s="1655" t="s">
        <v>549</v>
      </c>
      <c r="C1344" s="1655" t="s">
        <v>2383</v>
      </c>
      <c r="D1344" s="54" t="s">
        <v>2382</v>
      </c>
      <c r="F1344" s="54">
        <v>2000</v>
      </c>
      <c r="J1344" s="54" t="str">
        <f t="shared" si="56"/>
        <v>MTUCS</v>
      </c>
    </row>
    <row r="1345" spans="1:10" hidden="1">
      <c r="A1345" s="1655" t="s">
        <v>1562</v>
      </c>
      <c r="C1345" s="1655" t="s">
        <v>2384</v>
      </c>
      <c r="D1345" s="54" t="s">
        <v>2385</v>
      </c>
      <c r="F1345" s="54">
        <v>2000</v>
      </c>
      <c r="J1345" s="54" t="str">
        <f t="shared" si="56"/>
        <v>TD75</v>
      </c>
    </row>
    <row r="1346" spans="1:10" hidden="1">
      <c r="A1346" s="1655" t="s">
        <v>6565</v>
      </c>
      <c r="C1346" s="1655" t="s">
        <v>2387</v>
      </c>
      <c r="D1346" s="54" t="s">
        <v>2385</v>
      </c>
      <c r="F1346" s="54">
        <v>2000</v>
      </c>
      <c r="J1346" s="54" t="str">
        <f t="shared" si="56"/>
        <v>TDLL84</v>
      </c>
    </row>
    <row r="1347" spans="1:10" hidden="1">
      <c r="A1347" s="1655" t="s">
        <v>5</v>
      </c>
      <c r="C1347" s="1655" t="s">
        <v>4291</v>
      </c>
      <c r="D1347" s="54" t="s">
        <v>2385</v>
      </c>
      <c r="F1347" s="54">
        <v>2000</v>
      </c>
      <c r="J1347" s="54" t="str">
        <f t="shared" si="56"/>
        <v>TD85ABC</v>
      </c>
    </row>
    <row r="1348" spans="1:10" hidden="1">
      <c r="A1348" s="1655" t="s">
        <v>515</v>
      </c>
      <c r="C1348" s="1655" t="s">
        <v>2389</v>
      </c>
      <c r="D1348" s="54" t="s">
        <v>2385</v>
      </c>
      <c r="F1348" s="54">
        <v>2000</v>
      </c>
      <c r="J1348" s="54" t="str">
        <f t="shared" si="56"/>
        <v>TDTUPP</v>
      </c>
    </row>
    <row r="1349" spans="1:10" hidden="1">
      <c r="A1349" s="1655" t="s">
        <v>2142</v>
      </c>
      <c r="C1349" s="1655" t="s">
        <v>2390</v>
      </c>
      <c r="D1349" s="54" t="s">
        <v>2385</v>
      </c>
      <c r="F1349" s="54">
        <v>2000</v>
      </c>
      <c r="J1349" s="54" t="str">
        <f t="shared" si="56"/>
        <v>TDTT105</v>
      </c>
    </row>
    <row r="1350" spans="1:10" hidden="1">
      <c r="A1350" s="1655" t="s">
        <v>1637</v>
      </c>
      <c r="C1350" s="1655" t="s">
        <v>2391</v>
      </c>
      <c r="D1350" s="54" t="s">
        <v>2385</v>
      </c>
      <c r="F1350" s="54">
        <v>2000</v>
      </c>
      <c r="J1350" s="54" t="str">
        <f t="shared" si="56"/>
        <v>TDTT12</v>
      </c>
    </row>
    <row r="1351" spans="1:10" hidden="1">
      <c r="A1351" s="1655" t="s">
        <v>2235</v>
      </c>
      <c r="C1351" s="1655" t="s">
        <v>2392</v>
      </c>
      <c r="D1351" s="54" t="s">
        <v>2385</v>
      </c>
      <c r="F1351" s="54">
        <v>2000</v>
      </c>
      <c r="J1351" s="54" t="str">
        <f t="shared" si="56"/>
        <v>TDLL12</v>
      </c>
    </row>
    <row r="1352" spans="1:10" hidden="1">
      <c r="A1352" s="1655" t="s">
        <v>6518</v>
      </c>
      <c r="C1352" s="1655" t="s">
        <v>6519</v>
      </c>
      <c r="D1352" s="54" t="s">
        <v>2385</v>
      </c>
      <c r="F1352" s="54">
        <v>2000</v>
      </c>
      <c r="J1352" s="54" t="str">
        <f t="shared" si="56"/>
        <v>TDTB</v>
      </c>
    </row>
    <row r="1353" spans="1:10" hidden="1">
      <c r="A1353" s="1655" t="s">
        <v>1638</v>
      </c>
      <c r="C1353" s="1655" t="s">
        <v>2394</v>
      </c>
      <c r="D1353" s="54" t="s">
        <v>2385</v>
      </c>
      <c r="F1353" s="54">
        <v>2000</v>
      </c>
      <c r="J1353" s="54" t="str">
        <f t="shared" si="56"/>
        <v>TDTT14</v>
      </c>
    </row>
    <row r="1354" spans="1:10" hidden="1">
      <c r="A1354" s="1655" t="s">
        <v>1984</v>
      </c>
      <c r="C1354" s="1655" t="s">
        <v>2395</v>
      </c>
      <c r="D1354" s="54" t="s">
        <v>2385</v>
      </c>
      <c r="F1354" s="54">
        <v>2000</v>
      </c>
      <c r="J1354" s="54" t="str">
        <f t="shared" si="56"/>
        <v>TDTT20</v>
      </c>
    </row>
    <row r="1355" spans="1:10" hidden="1">
      <c r="A1355" s="1655" t="s">
        <v>547</v>
      </c>
      <c r="C1355" s="1655" t="s">
        <v>2396</v>
      </c>
      <c r="D1355" s="54" t="s">
        <v>2385</v>
      </c>
      <c r="F1355" s="54">
        <v>2000</v>
      </c>
      <c r="J1355" s="54" t="str">
        <f t="shared" si="56"/>
        <v>TDMT</v>
      </c>
    </row>
    <row r="1356" spans="1:10" hidden="1">
      <c r="A1356" s="1655" t="s">
        <v>1054</v>
      </c>
      <c r="C1356" s="1655" t="s">
        <v>2397</v>
      </c>
      <c r="D1356" s="54" t="s">
        <v>2385</v>
      </c>
      <c r="F1356" s="54">
        <v>2000</v>
      </c>
      <c r="J1356" s="54" t="str">
        <f t="shared" ref="J1356" si="59">A1356</f>
        <v>TDDD</v>
      </c>
    </row>
    <row r="1357" spans="1:10" hidden="1">
      <c r="A1357" s="1655" t="s">
        <v>6429</v>
      </c>
      <c r="C1357" s="1655" t="s">
        <v>6430</v>
      </c>
      <c r="D1357" s="54" t="s">
        <v>2385</v>
      </c>
      <c r="F1357" s="54">
        <v>2000</v>
      </c>
      <c r="J1357" s="54" t="str">
        <f t="shared" si="56"/>
        <v>TDTBA</v>
      </c>
    </row>
    <row r="1358" spans="1:10" hidden="1">
      <c r="A1358" s="1655" t="s">
        <v>954</v>
      </c>
      <c r="C1358" s="1655" t="s">
        <v>2398</v>
      </c>
      <c r="D1358" s="54" t="s">
        <v>2277</v>
      </c>
      <c r="F1358" s="54">
        <v>2000</v>
      </c>
      <c r="J1358" s="54" t="str">
        <f t="shared" si="56"/>
        <v>TRUTHEP</v>
      </c>
    </row>
    <row r="1359" spans="1:10" hidden="1">
      <c r="A1359" s="1655" t="s">
        <v>233</v>
      </c>
      <c r="C1359" s="1655" t="s">
        <v>2399</v>
      </c>
      <c r="D1359" s="54" t="s">
        <v>2277</v>
      </c>
      <c r="F1359" s="54">
        <v>2000</v>
      </c>
      <c r="J1359" s="54" t="str">
        <f t="shared" si="56"/>
        <v>BTLT 7.5</v>
      </c>
    </row>
    <row r="1360" spans="1:10" hidden="1">
      <c r="A1360" s="1655" t="s">
        <v>232</v>
      </c>
      <c r="C1360" s="1655" t="s">
        <v>4549</v>
      </c>
      <c r="D1360" s="54" t="s">
        <v>2277</v>
      </c>
      <c r="F1360" s="54">
        <v>2000</v>
      </c>
      <c r="J1360" s="54" t="str">
        <f t="shared" si="56"/>
        <v>BTLT 8.5</v>
      </c>
    </row>
    <row r="1361" spans="1:10" hidden="1">
      <c r="A1361" s="1655" t="s">
        <v>4550</v>
      </c>
      <c r="C1361" s="1655" t="s">
        <v>2400</v>
      </c>
      <c r="D1361" s="54" t="s">
        <v>2277</v>
      </c>
      <c r="F1361" s="54">
        <v>2000</v>
      </c>
      <c r="J1361" s="54" t="str">
        <f t="shared" si="56"/>
        <v xml:space="preserve">BTLT 8.4 </v>
      </c>
    </row>
    <row r="1362" spans="1:10" hidden="1">
      <c r="A1362" s="1655" t="s">
        <v>185</v>
      </c>
      <c r="C1362" s="1655" t="s">
        <v>2401</v>
      </c>
      <c r="D1362" s="54" t="s">
        <v>2277</v>
      </c>
      <c r="F1362" s="54">
        <v>2000</v>
      </c>
      <c r="J1362" s="54" t="str">
        <f t="shared" si="56"/>
        <v>BTLT 8.4TD</v>
      </c>
    </row>
    <row r="1363" spans="1:10" hidden="1">
      <c r="A1363" s="1655" t="s">
        <v>1630</v>
      </c>
      <c r="C1363" s="1655" t="s">
        <v>2402</v>
      </c>
      <c r="D1363" s="54" t="s">
        <v>2277</v>
      </c>
      <c r="F1363" s="54">
        <v>2000</v>
      </c>
      <c r="J1363" s="54" t="str">
        <f t="shared" si="56"/>
        <v>N-BTLT 8.4</v>
      </c>
    </row>
    <row r="1364" spans="1:10" s="2989" customFormat="1" hidden="1">
      <c r="A1364" s="2997" t="s">
        <v>510</v>
      </c>
      <c r="B1364" s="2996"/>
      <c r="C1364" s="2997" t="s">
        <v>2405</v>
      </c>
      <c r="D1364" s="2989" t="s">
        <v>2277</v>
      </c>
      <c r="E1364" s="2999"/>
      <c r="F1364" s="2989">
        <v>2000</v>
      </c>
      <c r="J1364" s="2989" t="str">
        <f t="shared" ref="J1364" si="60">A1364</f>
        <v>N-T-BTLT 8.4</v>
      </c>
    </row>
    <row r="1365" spans="1:10" hidden="1">
      <c r="A1365" s="1655" t="s">
        <v>6602</v>
      </c>
      <c r="C1365" s="1655" t="s">
        <v>4101</v>
      </c>
      <c r="D1365" s="54" t="s">
        <v>2277</v>
      </c>
      <c r="F1365" s="54">
        <v>2000</v>
      </c>
      <c r="J1365" s="54" t="str">
        <f t="shared" si="56"/>
        <v>N-T-BTLT 12</v>
      </c>
    </row>
    <row r="1366" spans="1:10" hidden="1">
      <c r="A1366" s="1655" t="s">
        <v>300</v>
      </c>
      <c r="C1366" s="1655" t="s">
        <v>2406</v>
      </c>
      <c r="D1366" s="54" t="s">
        <v>2277</v>
      </c>
      <c r="F1366" s="54">
        <v>2000</v>
      </c>
      <c r="J1366" s="54" t="str">
        <f t="shared" ref="J1366:J1439" si="61">A1366</f>
        <v>BTLT 10.5</v>
      </c>
    </row>
    <row r="1367" spans="1:10" hidden="1">
      <c r="A1367" s="1655" t="s">
        <v>370</v>
      </c>
      <c r="C1367" s="1655" t="s">
        <v>2407</v>
      </c>
      <c r="D1367" s="54" t="s">
        <v>2277</v>
      </c>
      <c r="F1367" s="54">
        <v>2000</v>
      </c>
      <c r="J1367" s="54" t="str">
        <f t="shared" si="61"/>
        <v>N-BTLT 10.5</v>
      </c>
    </row>
    <row r="1368" spans="1:10" hidden="1">
      <c r="A1368" s="1655" t="s">
        <v>1186</v>
      </c>
      <c r="C1368" s="1655" t="s">
        <v>2409</v>
      </c>
      <c r="D1368" s="54" t="s">
        <v>2277</v>
      </c>
      <c r="F1368" s="54">
        <v>2000</v>
      </c>
      <c r="J1368" s="54" t="str">
        <f t="shared" si="61"/>
        <v>BTLT 12 TC</v>
      </c>
    </row>
    <row r="1369" spans="1:10" hidden="1">
      <c r="A1369" s="1655" t="s">
        <v>301</v>
      </c>
      <c r="C1369" s="1655" t="s">
        <v>2410</v>
      </c>
      <c r="D1369" s="54" t="s">
        <v>2277</v>
      </c>
      <c r="F1369" s="54">
        <v>2000</v>
      </c>
      <c r="J1369" s="54" t="str">
        <f t="shared" si="61"/>
        <v>BTLT 12</v>
      </c>
    </row>
    <row r="1370" spans="1:10" hidden="1">
      <c r="A1370" s="1655" t="s">
        <v>2308</v>
      </c>
      <c r="C1370" s="1655" t="s">
        <v>2411</v>
      </c>
      <c r="D1370" s="54" t="s">
        <v>2277</v>
      </c>
      <c r="F1370" s="54">
        <v>2000</v>
      </c>
      <c r="J1370" s="54" t="str">
        <f t="shared" si="61"/>
        <v>BTLT 12 TĐ</v>
      </c>
    </row>
    <row r="1371" spans="1:10" hidden="1">
      <c r="A1371" s="1655" t="s">
        <v>302</v>
      </c>
      <c r="C1371" s="1655" t="s">
        <v>2413</v>
      </c>
      <c r="D1371" s="54" t="s">
        <v>2277</v>
      </c>
      <c r="F1371" s="54">
        <v>2000</v>
      </c>
      <c r="J1371" s="54" t="str">
        <f t="shared" si="61"/>
        <v>BTLT 14</v>
      </c>
    </row>
    <row r="1372" spans="1:10" hidden="1">
      <c r="A1372" s="1655" t="s">
        <v>759</v>
      </c>
      <c r="C1372" s="1655" t="s">
        <v>2414</v>
      </c>
      <c r="D1372" s="54" t="s">
        <v>2277</v>
      </c>
      <c r="F1372" s="54">
        <v>2000</v>
      </c>
      <c r="J1372" s="54" t="str">
        <f t="shared" si="61"/>
        <v>BTLT 20</v>
      </c>
    </row>
    <row r="1373" spans="1:10" hidden="1">
      <c r="A1373" s="1655" t="s">
        <v>361</v>
      </c>
      <c r="C1373" s="1655" t="s">
        <v>2453</v>
      </c>
      <c r="D1373" s="54" t="s">
        <v>2385</v>
      </c>
      <c r="F1373" s="54">
        <v>2000</v>
      </c>
      <c r="G1373" s="54" t="s">
        <v>512</v>
      </c>
      <c r="J1373" s="54" t="str">
        <f t="shared" si="61"/>
        <v>X-24COMPOSITE</v>
      </c>
    </row>
    <row r="1374" spans="1:10" hidden="1">
      <c r="A1374" s="1655" t="s">
        <v>2309</v>
      </c>
      <c r="C1374" s="1655" t="s">
        <v>2415</v>
      </c>
      <c r="D1374" s="54" t="s">
        <v>2385</v>
      </c>
      <c r="F1374" s="54">
        <v>2000</v>
      </c>
      <c r="J1374" s="54" t="str">
        <f t="shared" si="61"/>
        <v>X-1,66Đ</v>
      </c>
    </row>
    <row r="1375" spans="1:10" hidden="1">
      <c r="A1375" s="1655" t="s">
        <v>1291</v>
      </c>
      <c r="C1375" s="1655" t="s">
        <v>2416</v>
      </c>
      <c r="D1375" s="54" t="s">
        <v>2385</v>
      </c>
      <c r="F1375" s="54">
        <v>2000</v>
      </c>
      <c r="J1375" s="54" t="str">
        <f t="shared" si="61"/>
        <v>X-1,66K</v>
      </c>
    </row>
    <row r="1376" spans="1:10" hidden="1">
      <c r="A1376" s="1655" t="s">
        <v>2295</v>
      </c>
      <c r="C1376" s="1655" t="s">
        <v>4325</v>
      </c>
      <c r="D1376" s="54" t="s">
        <v>2385</v>
      </c>
      <c r="F1376" s="54">
        <v>2000</v>
      </c>
      <c r="J1376" s="54" t="str">
        <f t="shared" si="61"/>
        <v>X-22K-Đ</v>
      </c>
    </row>
    <row r="1377" spans="1:10" hidden="1">
      <c r="A1377" s="1655" t="s">
        <v>2291</v>
      </c>
      <c r="C1377" s="1655" t="s">
        <v>2417</v>
      </c>
      <c r="D1377" s="54" t="s">
        <v>2385</v>
      </c>
      <c r="F1377" s="54">
        <v>2000</v>
      </c>
      <c r="J1377" s="54" t="str">
        <f t="shared" si="61"/>
        <v>X-20Đ</v>
      </c>
    </row>
    <row r="1378" spans="1:10" hidden="1">
      <c r="A1378" s="1655" t="s">
        <v>909</v>
      </c>
      <c r="C1378" s="1655" t="s">
        <v>2418</v>
      </c>
      <c r="D1378" s="54" t="s">
        <v>2385</v>
      </c>
      <c r="F1378" s="54">
        <v>2000</v>
      </c>
      <c r="J1378" s="54" t="str">
        <f t="shared" si="61"/>
        <v>X-20K</v>
      </c>
    </row>
    <row r="1379" spans="1:10" hidden="1">
      <c r="A1379" s="1655" t="s">
        <v>2294</v>
      </c>
      <c r="C1379" s="1655" t="s">
        <v>2419</v>
      </c>
      <c r="D1379" s="54" t="s">
        <v>2385</v>
      </c>
      <c r="F1379" s="54">
        <v>2000</v>
      </c>
      <c r="J1379" s="54" t="str">
        <f t="shared" si="61"/>
        <v>X-22Đ</v>
      </c>
    </row>
    <row r="1380" spans="1:10" hidden="1">
      <c r="A1380" s="1655" t="s">
        <v>2310</v>
      </c>
      <c r="C1380" s="1655" t="s">
        <v>2421</v>
      </c>
      <c r="D1380" s="54" t="s">
        <v>2385</v>
      </c>
      <c r="F1380" s="54">
        <v>2000</v>
      </c>
      <c r="J1380" s="54" t="str">
        <f t="shared" si="61"/>
        <v>X-22Đ - C920</v>
      </c>
    </row>
    <row r="1381" spans="1:10" s="2989" customFormat="1" ht="13.8" hidden="1">
      <c r="A1381" s="2997" t="s">
        <v>6589</v>
      </c>
      <c r="B1381" s="2996"/>
      <c r="C1381" s="2997" t="s">
        <v>6590</v>
      </c>
      <c r="D1381" s="2989" t="s">
        <v>2532</v>
      </c>
      <c r="E1381" s="2999"/>
      <c r="F1381" s="2989">
        <v>2000</v>
      </c>
      <c r="J1381" s="2989" t="str">
        <f t="shared" ref="J1381" si="62">A1381</f>
        <v>TL CV95</v>
      </c>
    </row>
    <row r="1382" spans="1:10" s="2989" customFormat="1" ht="13.8" hidden="1">
      <c r="A1382" s="2997" t="s">
        <v>6592</v>
      </c>
      <c r="B1382" s="2996"/>
      <c r="C1382" s="2997" t="s">
        <v>6593</v>
      </c>
      <c r="D1382" s="2989" t="s">
        <v>2532</v>
      </c>
      <c r="E1382" s="2999"/>
      <c r="F1382" s="2989">
        <v>2000</v>
      </c>
      <c r="J1382" s="2989" t="str">
        <f t="shared" si="61"/>
        <v>TL CV120</v>
      </c>
    </row>
    <row r="1383" spans="1:10" s="2989" customFormat="1" ht="13.8" hidden="1">
      <c r="A1383" s="2997" t="s">
        <v>6594</v>
      </c>
      <c r="B1383" s="2996"/>
      <c r="C1383" s="2997" t="s">
        <v>6595</v>
      </c>
      <c r="D1383" s="2989" t="s">
        <v>2555</v>
      </c>
      <c r="E1383" s="2999"/>
      <c r="F1383" s="2989">
        <v>2000</v>
      </c>
      <c r="J1383" s="2989" t="str">
        <f t="shared" si="61"/>
        <v>TL MCCB-300</v>
      </c>
    </row>
    <row r="1384" spans="1:10" s="2989" customFormat="1" hidden="1">
      <c r="A1384" s="2997" t="s">
        <v>6579</v>
      </c>
      <c r="B1384" s="2996"/>
      <c r="C1384" s="2997" t="s">
        <v>3828</v>
      </c>
      <c r="D1384" s="2989" t="s">
        <v>2555</v>
      </c>
      <c r="E1384" s="2999"/>
      <c r="F1384" s="2989">
        <v>2000</v>
      </c>
      <c r="J1384" s="2989" t="str">
        <f t="shared" si="61"/>
        <v>TL LA</v>
      </c>
    </row>
    <row r="1385" spans="1:10" s="2989" customFormat="1" hidden="1">
      <c r="A1385" s="2997" t="s">
        <v>6599</v>
      </c>
      <c r="B1385" s="2996"/>
      <c r="C1385" s="2997" t="s">
        <v>4105</v>
      </c>
      <c r="D1385" s="2989" t="s">
        <v>2555</v>
      </c>
      <c r="E1385" s="2999"/>
      <c r="F1385" s="2989">
        <v>2000</v>
      </c>
      <c r="J1385" s="2989" t="str">
        <f t="shared" ref="J1385" si="63">A1385</f>
        <v>TL FCO</v>
      </c>
    </row>
    <row r="1386" spans="1:10" s="2989" customFormat="1" ht="13.8" hidden="1">
      <c r="A1386" s="2997" t="s">
        <v>6573</v>
      </c>
      <c r="B1386" s="2996"/>
      <c r="C1386" s="2997" t="s">
        <v>6574</v>
      </c>
      <c r="D1386" s="2989" t="s">
        <v>2385</v>
      </c>
      <c r="E1386" s="2999"/>
      <c r="F1386" s="2989">
        <v>2000</v>
      </c>
      <c r="J1386" s="2989" t="str">
        <f t="shared" si="61"/>
        <v>TL X-25</v>
      </c>
    </row>
    <row r="1387" spans="1:10" s="2989" customFormat="1" ht="13.8">
      <c r="A1387" s="2997" t="s">
        <v>6577</v>
      </c>
      <c r="B1387" s="2996"/>
      <c r="C1387" s="2997" t="s">
        <v>6578</v>
      </c>
      <c r="D1387" s="2989" t="s">
        <v>2385</v>
      </c>
      <c r="E1387" s="2999"/>
      <c r="F1387" s="2989">
        <v>2000</v>
      </c>
      <c r="J1387" s="2989" t="str">
        <f t="shared" ref="J1387:J1390" si="64">A1387</f>
        <v>TL X-100</v>
      </c>
    </row>
    <row r="1388" spans="1:10" s="2989" customFormat="1" hidden="1">
      <c r="A1388" s="2997" t="s">
        <v>6580</v>
      </c>
      <c r="B1388" s="2996"/>
      <c r="C1388" s="2997" t="s">
        <v>6581</v>
      </c>
      <c r="D1388" s="2989" t="s">
        <v>2385</v>
      </c>
      <c r="E1388" s="2999"/>
      <c r="F1388" s="2989">
        <v>2000</v>
      </c>
      <c r="J1388" s="2989" t="str">
        <f t="shared" ref="J1388:J1389" si="65">A1388</f>
        <v>TL DK1</v>
      </c>
    </row>
    <row r="1389" spans="1:10" s="2989" customFormat="1" hidden="1">
      <c r="A1389" s="2997" t="s">
        <v>6582</v>
      </c>
      <c r="B1389" s="2996"/>
      <c r="C1389" s="2997" t="s">
        <v>6583</v>
      </c>
      <c r="D1389" s="2989" t="s">
        <v>2385</v>
      </c>
      <c r="E1389" s="2999"/>
      <c r="F1389" s="2989">
        <v>2000</v>
      </c>
      <c r="J1389" s="2989" t="str">
        <f t="shared" si="65"/>
        <v>TL DK3</v>
      </c>
    </row>
    <row r="1390" spans="1:10" s="2989" customFormat="1" hidden="1">
      <c r="A1390" s="2997" t="s">
        <v>6584</v>
      </c>
      <c r="B1390" s="2996"/>
      <c r="C1390" s="2997" t="s">
        <v>6585</v>
      </c>
      <c r="D1390" s="2989" t="s">
        <v>2385</v>
      </c>
      <c r="E1390" s="2999"/>
      <c r="F1390" s="2989">
        <v>2000</v>
      </c>
      <c r="J1390" s="2989" t="str">
        <f t="shared" si="64"/>
        <v>TL HopPP</v>
      </c>
    </row>
    <row r="1391" spans="1:10" hidden="1">
      <c r="A1391" s="1655" t="s">
        <v>1082</v>
      </c>
      <c r="C1391" s="1655" t="s">
        <v>2422</v>
      </c>
      <c r="D1391" s="54" t="s">
        <v>2385</v>
      </c>
      <c r="F1391" s="54">
        <v>2000</v>
      </c>
      <c r="J1391" s="54" t="str">
        <f t="shared" si="61"/>
        <v>TL X-21K</v>
      </c>
    </row>
    <row r="1392" spans="1:10" hidden="1">
      <c r="A1392" s="1655" t="s">
        <v>533</v>
      </c>
      <c r="C1392" s="1655" t="s">
        <v>2423</v>
      </c>
      <c r="D1392" s="54" t="s">
        <v>2385</v>
      </c>
      <c r="F1392" s="54">
        <v>2000</v>
      </c>
      <c r="J1392" s="54" t="str">
        <f t="shared" si="61"/>
        <v>X-22K-K</v>
      </c>
    </row>
    <row r="1393" spans="1:10" hidden="1">
      <c r="A1393" s="1655" t="s">
        <v>1112</v>
      </c>
      <c r="C1393" s="1655" t="s">
        <v>2424</v>
      </c>
      <c r="D1393" s="54" t="s">
        <v>2385</v>
      </c>
      <c r="F1393" s="54">
        <v>2000</v>
      </c>
      <c r="J1393" s="54" t="str">
        <f t="shared" si="61"/>
        <v>X-22K - C920</v>
      </c>
    </row>
    <row r="1394" spans="1:10" hidden="1">
      <c r="A1394" s="1655" t="s">
        <v>2296</v>
      </c>
      <c r="C1394" s="1655" t="s">
        <v>2425</v>
      </c>
      <c r="D1394" s="54" t="s">
        <v>2385</v>
      </c>
      <c r="F1394" s="54">
        <v>2000</v>
      </c>
      <c r="J1394" s="54" t="str">
        <f t="shared" si="61"/>
        <v>X-24Đ</v>
      </c>
    </row>
    <row r="1395" spans="1:10" hidden="1">
      <c r="A1395" s="1655" t="s">
        <v>910</v>
      </c>
      <c r="C1395" s="1655" t="s">
        <v>2426</v>
      </c>
      <c r="D1395" s="54" t="s">
        <v>2385</v>
      </c>
      <c r="F1395" s="54">
        <v>2000</v>
      </c>
      <c r="J1395" s="54" t="str">
        <f t="shared" si="61"/>
        <v>X-24K</v>
      </c>
    </row>
    <row r="1396" spans="1:10" hidden="1">
      <c r="A1396" s="1655" t="s">
        <v>713</v>
      </c>
      <c r="C1396" s="1655" t="s">
        <v>2427</v>
      </c>
      <c r="D1396" s="54" t="s">
        <v>2385</v>
      </c>
      <c r="F1396" s="54">
        <v>2000</v>
      </c>
      <c r="J1396" s="54" t="str">
        <f t="shared" si="61"/>
        <v>TL X-26K</v>
      </c>
    </row>
    <row r="1397" spans="1:10" hidden="1">
      <c r="A1397" s="1655" t="s">
        <v>2297</v>
      </c>
      <c r="C1397" s="1655" t="s">
        <v>2428</v>
      </c>
      <c r="D1397" s="54" t="s">
        <v>2385</v>
      </c>
      <c r="F1397" s="54">
        <v>2000</v>
      </c>
      <c r="J1397" s="54" t="str">
        <f t="shared" si="61"/>
        <v>X-8ĐL</v>
      </c>
    </row>
    <row r="1398" spans="1:10" hidden="1">
      <c r="A1398" s="1655" t="s">
        <v>344</v>
      </c>
      <c r="C1398" s="1655" t="s">
        <v>2429</v>
      </c>
      <c r="D1398" s="54" t="s">
        <v>2385</v>
      </c>
      <c r="F1398" s="54">
        <v>2000</v>
      </c>
      <c r="J1398" s="54" t="str">
        <f t="shared" si="61"/>
        <v>X-8KL</v>
      </c>
    </row>
    <row r="1399" spans="1:10" hidden="1">
      <c r="A1399" s="1655" t="s">
        <v>2292</v>
      </c>
      <c r="C1399" s="1655" t="s">
        <v>2430</v>
      </c>
      <c r="D1399" s="54" t="s">
        <v>2385</v>
      </c>
      <c r="F1399" s="54">
        <v>2000</v>
      </c>
      <c r="J1399" s="54" t="str">
        <f t="shared" si="61"/>
        <v>X-21ĐL</v>
      </c>
    </row>
    <row r="1400" spans="1:10" hidden="1">
      <c r="A1400" s="1655" t="s">
        <v>893</v>
      </c>
      <c r="C1400" s="1655" t="s">
        <v>2431</v>
      </c>
      <c r="D1400" s="54" t="s">
        <v>2385</v>
      </c>
      <c r="F1400" s="54">
        <v>2000</v>
      </c>
      <c r="J1400" s="54" t="str">
        <f t="shared" si="61"/>
        <v>X-21KL</v>
      </c>
    </row>
    <row r="1401" spans="1:10" hidden="1">
      <c r="A1401" s="1655" t="s">
        <v>2293</v>
      </c>
      <c r="C1401" s="1655" t="s">
        <v>2432</v>
      </c>
      <c r="D1401" s="54" t="s">
        <v>2385</v>
      </c>
      <c r="F1401" s="54">
        <v>2000</v>
      </c>
      <c r="J1401" s="54" t="str">
        <f t="shared" si="61"/>
        <v>X-20ĐL2/3</v>
      </c>
    </row>
    <row r="1402" spans="1:10" hidden="1">
      <c r="A1402" s="1655" t="s">
        <v>2119</v>
      </c>
      <c r="C1402" s="1655" t="s">
        <v>2433</v>
      </c>
      <c r="D1402" s="54" t="s">
        <v>2385</v>
      </c>
      <c r="F1402" s="54">
        <v>2000</v>
      </c>
      <c r="J1402" s="54" t="str">
        <f t="shared" si="61"/>
        <v>X-20KL2/3</v>
      </c>
    </row>
    <row r="1403" spans="1:10" hidden="1">
      <c r="A1403" s="1655" t="s">
        <v>2298</v>
      </c>
      <c r="C1403" s="1655" t="s">
        <v>2434</v>
      </c>
      <c r="D1403" s="54" t="s">
        <v>2385</v>
      </c>
      <c r="F1403" s="54">
        <v>2000</v>
      </c>
      <c r="J1403" s="54" t="str">
        <f t="shared" si="61"/>
        <v>X-24ĐP</v>
      </c>
    </row>
    <row r="1404" spans="1:10" hidden="1">
      <c r="A1404" s="1655" t="s">
        <v>213</v>
      </c>
      <c r="C1404" s="1655" t="s">
        <v>2435</v>
      </c>
      <c r="D1404" s="54" t="s">
        <v>2385</v>
      </c>
      <c r="F1404" s="54">
        <v>2000</v>
      </c>
      <c r="J1404" s="54" t="str">
        <f t="shared" si="61"/>
        <v>X-24KP</v>
      </c>
    </row>
    <row r="1405" spans="1:10" hidden="1">
      <c r="A1405" s="1655" t="s">
        <v>2311</v>
      </c>
      <c r="C1405" s="1655" t="s">
        <v>2436</v>
      </c>
      <c r="D1405" s="54" t="s">
        <v>2385</v>
      </c>
      <c r="F1405" s="54">
        <v>2000</v>
      </c>
      <c r="J1405" s="54" t="str">
        <f t="shared" si="61"/>
        <v>X-26ĐP</v>
      </c>
    </row>
    <row r="1406" spans="1:10" hidden="1">
      <c r="A1406" s="1655" t="s">
        <v>1501</v>
      </c>
      <c r="C1406" s="1655" t="s">
        <v>2445</v>
      </c>
      <c r="D1406" s="54" t="s">
        <v>2385</v>
      </c>
      <c r="F1406" s="54">
        <v>2000</v>
      </c>
      <c r="J1406" s="54" t="str">
        <f t="shared" si="61"/>
        <v>X-26KP</v>
      </c>
    </row>
    <row r="1407" spans="1:10" hidden="1">
      <c r="A1407" s="1655" t="s">
        <v>1574</v>
      </c>
      <c r="C1407" s="1655" t="s">
        <v>2447</v>
      </c>
      <c r="D1407" s="54" t="s">
        <v>2385</v>
      </c>
      <c r="F1407" s="54">
        <v>2000</v>
      </c>
      <c r="J1407" s="54" t="str">
        <f t="shared" si="61"/>
        <v>X-28KP</v>
      </c>
    </row>
    <row r="1408" spans="1:10" hidden="1">
      <c r="A1408" s="1655" t="s">
        <v>105</v>
      </c>
      <c r="C1408" s="1655" t="s">
        <v>2449</v>
      </c>
      <c r="D1408" s="54" t="s">
        <v>2385</v>
      </c>
      <c r="F1408" s="54">
        <v>2000</v>
      </c>
      <c r="J1408" s="54" t="str">
        <f t="shared" si="61"/>
        <v>X-30KP</v>
      </c>
    </row>
    <row r="1409" spans="1:10" hidden="1">
      <c r="A1409" s="1655" t="s">
        <v>2299</v>
      </c>
      <c r="C1409" s="1655" t="s">
        <v>2450</v>
      </c>
      <c r="D1409" s="54" t="s">
        <v>2385</v>
      </c>
      <c r="F1409" s="54">
        <v>2000</v>
      </c>
      <c r="J1409" s="54" t="str">
        <f t="shared" si="61"/>
        <v>X-38Đ</v>
      </c>
    </row>
    <row r="1410" spans="1:10" hidden="1">
      <c r="A1410" s="1655" t="s">
        <v>807</v>
      </c>
      <c r="C1410" s="1655" t="s">
        <v>2451</v>
      </c>
      <c r="D1410" s="54" t="s">
        <v>2385</v>
      </c>
      <c r="F1410" s="54">
        <v>2000</v>
      </c>
      <c r="J1410" s="54" t="str">
        <f t="shared" si="61"/>
        <v>X-42KP</v>
      </c>
    </row>
    <row r="1411" spans="1:10" hidden="1">
      <c r="A1411" s="1655" t="s">
        <v>1868</v>
      </c>
      <c r="C1411" s="1655" t="s">
        <v>2452</v>
      </c>
      <c r="D1411" s="54" t="s">
        <v>2385</v>
      </c>
      <c r="F1411" s="54">
        <v>2000</v>
      </c>
      <c r="J1411" s="54" t="str">
        <f t="shared" si="61"/>
        <v>X-24KP500</v>
      </c>
    </row>
    <row r="1412" spans="1:10" hidden="1">
      <c r="A1412" s="1655" t="s">
        <v>806</v>
      </c>
      <c r="C1412" s="1655" t="s">
        <v>2454</v>
      </c>
      <c r="D1412" s="54" t="s">
        <v>2385</v>
      </c>
      <c r="F1412" s="54">
        <v>2000</v>
      </c>
      <c r="J1412" s="54" t="str">
        <f t="shared" si="61"/>
        <v>G-20KP</v>
      </c>
    </row>
    <row r="1413" spans="1:10" hidden="1">
      <c r="A1413" s="1655" t="s">
        <v>805</v>
      </c>
      <c r="C1413" s="1655" t="s">
        <v>2455</v>
      </c>
      <c r="D1413" s="54" t="s">
        <v>2385</v>
      </c>
      <c r="F1413" s="54">
        <v>2000</v>
      </c>
      <c r="J1413" s="54" t="str">
        <f t="shared" si="61"/>
        <v>G-23KP</v>
      </c>
    </row>
    <row r="1414" spans="1:10" hidden="1">
      <c r="A1414" s="1655" t="s">
        <v>1566</v>
      </c>
      <c r="C1414" s="1655" t="s">
        <v>2456</v>
      </c>
      <c r="D1414" s="54" t="s">
        <v>2385</v>
      </c>
      <c r="F1414" s="54">
        <v>2000</v>
      </c>
      <c r="J1414" s="54" t="str">
        <f t="shared" si="61"/>
        <v>G-720</v>
      </c>
    </row>
    <row r="1415" spans="1:10" hidden="1">
      <c r="A1415" s="1655" t="s">
        <v>1195</v>
      </c>
      <c r="C1415" s="1655" t="s">
        <v>2457</v>
      </c>
      <c r="D1415" s="54" t="s">
        <v>2385</v>
      </c>
      <c r="F1415" s="54">
        <v>2000</v>
      </c>
      <c r="J1415" s="54" t="str">
        <f t="shared" si="61"/>
        <v>CODE th-Þ240</v>
      </c>
    </row>
    <row r="1416" spans="1:10" hidden="1">
      <c r="A1416" s="1655" t="s">
        <v>633</v>
      </c>
      <c r="C1416" s="1655" t="s">
        <v>2458</v>
      </c>
      <c r="D1416" s="54" t="s">
        <v>2385</v>
      </c>
      <c r="F1416" s="54">
        <v>2000</v>
      </c>
      <c r="J1416" s="54" t="str">
        <f t="shared" si="61"/>
        <v>CX-ht</v>
      </c>
    </row>
    <row r="1417" spans="1:10" hidden="1">
      <c r="A1417" s="1655" t="s">
        <v>205</v>
      </c>
      <c r="C1417" s="1655" t="s">
        <v>2459</v>
      </c>
      <c r="D1417" s="54" t="s">
        <v>2385</v>
      </c>
      <c r="F1417" s="54">
        <v>2000</v>
      </c>
      <c r="J1417" s="54" t="str">
        <f t="shared" si="61"/>
        <v>T CL-ht</v>
      </c>
    </row>
    <row r="1418" spans="1:10" hidden="1">
      <c r="A1418" s="1655" t="s">
        <v>632</v>
      </c>
      <c r="C1418" s="1655" t="s">
        <v>2462</v>
      </c>
      <c r="D1418" s="54" t="s">
        <v>2385</v>
      </c>
      <c r="F1418" s="54">
        <v>2000</v>
      </c>
      <c r="J1418" s="54" t="str">
        <f t="shared" si="61"/>
        <v>CL-ht</v>
      </c>
    </row>
    <row r="1419" spans="1:10" hidden="1">
      <c r="A1419" s="1655" t="s">
        <v>835</v>
      </c>
      <c r="C1419" s="1655" t="s">
        <v>2463</v>
      </c>
      <c r="D1419" s="54" t="s">
        <v>2385</v>
      </c>
      <c r="F1419" s="54">
        <v>2000</v>
      </c>
      <c r="J1419" s="54" t="str">
        <f t="shared" si="61"/>
        <v>CX10-B</v>
      </c>
    </row>
    <row r="1420" spans="1:10" hidden="1">
      <c r="A1420" s="1655" t="s">
        <v>836</v>
      </c>
      <c r="C1420" s="1655" t="s">
        <v>2464</v>
      </c>
      <c r="D1420" s="54" t="s">
        <v>2385</v>
      </c>
      <c r="F1420" s="54">
        <v>2000</v>
      </c>
      <c r="J1420" s="54" t="str">
        <f t="shared" si="61"/>
        <v>CL10-B</v>
      </c>
    </row>
    <row r="1421" spans="1:10" hidden="1">
      <c r="A1421" s="1655" t="s">
        <v>837</v>
      </c>
      <c r="C1421" s="1655" t="s">
        <v>2465</v>
      </c>
      <c r="D1421" s="54" t="s">
        <v>2385</v>
      </c>
      <c r="F1421" s="54">
        <v>2000</v>
      </c>
      <c r="J1421" s="54" t="str">
        <f t="shared" si="61"/>
        <v>CXX10-B</v>
      </c>
    </row>
    <row r="1422" spans="1:10" hidden="1">
      <c r="A1422" s="1655" t="s">
        <v>1270</v>
      </c>
      <c r="C1422" s="1655" t="s">
        <v>2466</v>
      </c>
      <c r="D1422" s="54" t="s">
        <v>2385</v>
      </c>
      <c r="F1422" s="54">
        <v>2000</v>
      </c>
      <c r="J1422" s="54" t="str">
        <f t="shared" si="61"/>
        <v>T CX12-B</v>
      </c>
    </row>
    <row r="1423" spans="1:10" hidden="1">
      <c r="A1423" s="1655" t="s">
        <v>663</v>
      </c>
      <c r="C1423" s="1655" t="s">
        <v>2467</v>
      </c>
      <c r="D1423" s="54" t="s">
        <v>2385</v>
      </c>
      <c r="F1423" s="54">
        <v>2000</v>
      </c>
      <c r="J1423" s="54" t="str">
        <f t="shared" si="61"/>
        <v>CX12-B</v>
      </c>
    </row>
    <row r="1424" spans="1:10" hidden="1">
      <c r="A1424" s="1655" t="s">
        <v>195</v>
      </c>
      <c r="C1424" s="1655" t="s">
        <v>2469</v>
      </c>
      <c r="D1424" s="54" t="s">
        <v>2385</v>
      </c>
      <c r="F1424" s="54">
        <v>2000</v>
      </c>
      <c r="J1424" s="54" t="str">
        <f t="shared" si="61"/>
        <v>T CL12-B</v>
      </c>
    </row>
    <row r="1425" spans="1:10" hidden="1">
      <c r="A1425" s="1655" t="s">
        <v>664</v>
      </c>
      <c r="C1425" s="1655" t="s">
        <v>2470</v>
      </c>
      <c r="D1425" s="54" t="s">
        <v>2385</v>
      </c>
      <c r="F1425" s="54">
        <v>2000</v>
      </c>
      <c r="J1425" s="54" t="str">
        <f t="shared" si="61"/>
        <v>CL12-B</v>
      </c>
    </row>
    <row r="1426" spans="1:10" hidden="1">
      <c r="A1426" s="1655" t="s">
        <v>665</v>
      </c>
      <c r="C1426" s="1655" t="s">
        <v>2471</v>
      </c>
      <c r="D1426" s="54" t="s">
        <v>2385</v>
      </c>
      <c r="F1426" s="54">
        <v>2000</v>
      </c>
      <c r="J1426" s="54" t="str">
        <f t="shared" si="61"/>
        <v>CXX12-B</v>
      </c>
    </row>
    <row r="1427" spans="1:10" hidden="1">
      <c r="A1427" s="1655" t="s">
        <v>666</v>
      </c>
      <c r="C1427" s="1655" t="s">
        <v>2472</v>
      </c>
      <c r="D1427" s="54" t="s">
        <v>2385</v>
      </c>
      <c r="F1427" s="54">
        <v>2000</v>
      </c>
      <c r="J1427" s="54" t="str">
        <f t="shared" si="61"/>
        <v>CX14-B</v>
      </c>
    </row>
    <row r="1428" spans="1:10" hidden="1">
      <c r="A1428" s="1655" t="s">
        <v>912</v>
      </c>
      <c r="C1428" s="1655" t="s">
        <v>2473</v>
      </c>
      <c r="D1428" s="54" t="s">
        <v>2385</v>
      </c>
      <c r="F1428" s="54">
        <v>2000</v>
      </c>
      <c r="J1428" s="54" t="str">
        <f t="shared" si="61"/>
        <v>CL14-B</v>
      </c>
    </row>
    <row r="1429" spans="1:10" hidden="1">
      <c r="A1429" s="1655" t="s">
        <v>913</v>
      </c>
      <c r="C1429" s="1655" t="s">
        <v>2474</v>
      </c>
      <c r="D1429" s="54" t="s">
        <v>2385</v>
      </c>
      <c r="F1429" s="54">
        <v>2000</v>
      </c>
      <c r="J1429" s="54" t="str">
        <f t="shared" si="61"/>
        <v>CXX14-B</v>
      </c>
    </row>
    <row r="1430" spans="1:10" hidden="1">
      <c r="A1430" s="1655" t="s">
        <v>749</v>
      </c>
      <c r="C1430" s="1655" t="s">
        <v>2475</v>
      </c>
      <c r="D1430" s="54" t="s">
        <v>2385</v>
      </c>
      <c r="F1430" s="54">
        <v>2000</v>
      </c>
      <c r="J1430" s="54" t="str">
        <f t="shared" si="61"/>
        <v>CK-B</v>
      </c>
    </row>
    <row r="1431" spans="1:10" hidden="1">
      <c r="A1431" s="1655" t="s">
        <v>748</v>
      </c>
      <c r="C1431" s="1655" t="s">
        <v>2476</v>
      </c>
      <c r="D1431" s="54" t="s">
        <v>2385</v>
      </c>
      <c r="F1431" s="54">
        <v>2000</v>
      </c>
      <c r="J1431" s="54" t="str">
        <f t="shared" si="61"/>
        <v>CKK-B</v>
      </c>
    </row>
    <row r="1432" spans="1:10" hidden="1">
      <c r="A1432" s="1655" t="s">
        <v>345</v>
      </c>
      <c r="C1432" s="1655" t="s">
        <v>2477</v>
      </c>
      <c r="D1432" s="54" t="s">
        <v>2385</v>
      </c>
      <c r="F1432" s="54">
        <v>2000</v>
      </c>
      <c r="J1432" s="54" t="str">
        <f t="shared" si="61"/>
        <v>CX10-C</v>
      </c>
    </row>
    <row r="1433" spans="1:10" hidden="1">
      <c r="A1433" s="1655" t="s">
        <v>1084</v>
      </c>
      <c r="C1433" s="1655" t="s">
        <v>2478</v>
      </c>
      <c r="D1433" s="54" t="s">
        <v>2385</v>
      </c>
      <c r="F1433" s="54">
        <v>2000</v>
      </c>
      <c r="J1433" s="54" t="str">
        <f t="shared" si="61"/>
        <v>CL10-C</v>
      </c>
    </row>
    <row r="1434" spans="1:10" hidden="1">
      <c r="A1434" s="1655" t="s">
        <v>1085</v>
      </c>
      <c r="C1434" s="1655" t="s">
        <v>2479</v>
      </c>
      <c r="D1434" s="54" t="s">
        <v>2385</v>
      </c>
      <c r="F1434" s="54">
        <v>2000</v>
      </c>
      <c r="J1434" s="54" t="str">
        <f t="shared" si="61"/>
        <v>CXX10-C</v>
      </c>
    </row>
    <row r="1435" spans="1:10" hidden="1">
      <c r="A1435" s="1655" t="s">
        <v>1086</v>
      </c>
      <c r="C1435" s="1655" t="s">
        <v>2480</v>
      </c>
      <c r="D1435" s="54" t="s">
        <v>2385</v>
      </c>
      <c r="F1435" s="54">
        <v>2000</v>
      </c>
      <c r="J1435" s="54" t="str">
        <f t="shared" si="61"/>
        <v>CX12-C</v>
      </c>
    </row>
    <row r="1436" spans="1:10" hidden="1">
      <c r="A1436" s="1655" t="s">
        <v>1087</v>
      </c>
      <c r="C1436" s="1655" t="s">
        <v>2481</v>
      </c>
      <c r="D1436" s="54" t="s">
        <v>2385</v>
      </c>
      <c r="F1436" s="54">
        <v>2000</v>
      </c>
      <c r="J1436" s="54" t="str">
        <f t="shared" si="61"/>
        <v>CL12-C</v>
      </c>
    </row>
    <row r="1437" spans="1:10" hidden="1">
      <c r="A1437" s="1655" t="s">
        <v>1088</v>
      </c>
      <c r="C1437" s="1655" t="s">
        <v>2482</v>
      </c>
      <c r="D1437" s="54" t="s">
        <v>2385</v>
      </c>
      <c r="F1437" s="54">
        <v>2000</v>
      </c>
      <c r="J1437" s="54" t="str">
        <f t="shared" si="61"/>
        <v>CXX12-C</v>
      </c>
    </row>
    <row r="1438" spans="1:10" hidden="1">
      <c r="A1438" s="1655" t="s">
        <v>1809</v>
      </c>
      <c r="C1438" s="1655" t="s">
        <v>2483</v>
      </c>
      <c r="D1438" s="54" t="s">
        <v>2385</v>
      </c>
      <c r="F1438" s="54">
        <v>2000</v>
      </c>
      <c r="J1438" s="54" t="str">
        <f t="shared" si="61"/>
        <v>CX14-C</v>
      </c>
    </row>
    <row r="1439" spans="1:10" hidden="1">
      <c r="A1439" s="1655" t="s">
        <v>339</v>
      </c>
      <c r="C1439" s="1655" t="s">
        <v>2484</v>
      </c>
      <c r="D1439" s="54" t="s">
        <v>2385</v>
      </c>
      <c r="F1439" s="54">
        <v>2000</v>
      </c>
      <c r="J1439" s="54" t="str">
        <f t="shared" si="61"/>
        <v>CL14-C</v>
      </c>
    </row>
    <row r="1440" spans="1:10" hidden="1">
      <c r="A1440" s="1655" t="s">
        <v>1240</v>
      </c>
      <c r="C1440" s="1655" t="s">
        <v>2485</v>
      </c>
      <c r="D1440" s="54" t="s">
        <v>2385</v>
      </c>
      <c r="F1440" s="54">
        <v>2000</v>
      </c>
      <c r="J1440" s="54" t="str">
        <f t="shared" ref="J1440:J1504" si="66">A1440</f>
        <v>CXX14-C</v>
      </c>
    </row>
    <row r="1441" spans="1:10" hidden="1">
      <c r="A1441" s="1655" t="s">
        <v>812</v>
      </c>
      <c r="C1441" s="1655" t="s">
        <v>2486</v>
      </c>
      <c r="D1441" s="54" t="s">
        <v>2385</v>
      </c>
      <c r="F1441" s="54">
        <v>2000</v>
      </c>
      <c r="J1441" s="54" t="str">
        <f t="shared" si="66"/>
        <v>CX20-C</v>
      </c>
    </row>
    <row r="1442" spans="1:10" hidden="1">
      <c r="A1442" s="1655" t="s">
        <v>1089</v>
      </c>
      <c r="C1442" s="1655" t="s">
        <v>2487</v>
      </c>
      <c r="D1442" s="54" t="s">
        <v>2385</v>
      </c>
      <c r="F1442" s="54">
        <v>2000</v>
      </c>
      <c r="J1442" s="54" t="str">
        <f t="shared" si="66"/>
        <v>CK-C</v>
      </c>
    </row>
    <row r="1443" spans="1:10" hidden="1">
      <c r="A1443" s="1655" t="s">
        <v>1090</v>
      </c>
      <c r="C1443" s="1655" t="s">
        <v>2488</v>
      </c>
      <c r="D1443" s="54" t="s">
        <v>2385</v>
      </c>
      <c r="F1443" s="54">
        <v>2000</v>
      </c>
      <c r="J1443" s="54" t="str">
        <f t="shared" si="66"/>
        <v>CKK-C</v>
      </c>
    </row>
    <row r="1444" spans="1:10" hidden="1">
      <c r="A1444" s="1655" t="s">
        <v>1492</v>
      </c>
      <c r="C1444" s="1655" t="s">
        <v>2489</v>
      </c>
      <c r="D1444" s="54" t="s">
        <v>2385</v>
      </c>
      <c r="F1444" s="54">
        <v>2000</v>
      </c>
      <c r="J1444" s="54" t="str">
        <f t="shared" si="66"/>
        <v>NXX</v>
      </c>
    </row>
    <row r="1445" spans="1:10" hidden="1">
      <c r="A1445" s="1655" t="s">
        <v>1493</v>
      </c>
      <c r="C1445" s="1655" t="s">
        <v>2490</v>
      </c>
      <c r="D1445" s="54" t="s">
        <v>2385</v>
      </c>
      <c r="F1445" s="54">
        <v>2000</v>
      </c>
      <c r="J1445" s="54" t="str">
        <f t="shared" si="66"/>
        <v>NXL</v>
      </c>
    </row>
    <row r="1446" spans="1:10" hidden="1">
      <c r="A1446" s="1655" t="s">
        <v>1572</v>
      </c>
      <c r="C1446" s="1655" t="s">
        <v>2491</v>
      </c>
      <c r="D1446" s="54" t="s">
        <v>2385</v>
      </c>
      <c r="F1446" s="54">
        <v>2000</v>
      </c>
      <c r="J1446" s="54" t="str">
        <f t="shared" si="66"/>
        <v xml:space="preserve">MNX12-2 </v>
      </c>
    </row>
    <row r="1447" spans="1:10" hidden="1">
      <c r="A1447" s="1655" t="s">
        <v>1091</v>
      </c>
      <c r="C1447" s="1655" t="s">
        <v>2492</v>
      </c>
      <c r="D1447" s="54" t="s">
        <v>2385</v>
      </c>
      <c r="F1447" s="54">
        <v>2000</v>
      </c>
      <c r="J1447" s="54" t="str">
        <f t="shared" si="66"/>
        <v>MNL12-2</v>
      </c>
    </row>
    <row r="1448" spans="1:10" hidden="1">
      <c r="A1448" s="1655" t="s">
        <v>2146</v>
      </c>
      <c r="C1448" s="1655" t="s">
        <v>2493</v>
      </c>
      <c r="D1448" s="54" t="s">
        <v>2385</v>
      </c>
      <c r="F1448" s="54">
        <v>2000</v>
      </c>
      <c r="J1448" s="54" t="str">
        <f t="shared" si="66"/>
        <v xml:space="preserve">MNX12-4 </v>
      </c>
    </row>
    <row r="1449" spans="1:10" hidden="1">
      <c r="A1449" s="1655" t="s">
        <v>1092</v>
      </c>
      <c r="C1449" s="1655" t="s">
        <v>2494</v>
      </c>
      <c r="D1449" s="54" t="s">
        <v>2385</v>
      </c>
      <c r="F1449" s="54">
        <v>2000</v>
      </c>
      <c r="J1449" s="54" t="str">
        <f t="shared" si="66"/>
        <v xml:space="preserve">MNL12-4 </v>
      </c>
    </row>
    <row r="1450" spans="1:10" hidden="1">
      <c r="A1450" s="1655" t="s">
        <v>2147</v>
      </c>
      <c r="C1450" s="1655" t="s">
        <v>2495</v>
      </c>
      <c r="D1450" s="54" t="s">
        <v>2385</v>
      </c>
      <c r="F1450" s="54">
        <v>2000</v>
      </c>
      <c r="J1450" s="54" t="str">
        <f t="shared" si="66"/>
        <v xml:space="preserve">MNX15-4 </v>
      </c>
    </row>
    <row r="1451" spans="1:10" hidden="1">
      <c r="A1451" s="1655" t="s">
        <v>1093</v>
      </c>
      <c r="C1451" s="1655" t="s">
        <v>2496</v>
      </c>
      <c r="D1451" s="54" t="s">
        <v>2385</v>
      </c>
      <c r="F1451" s="54">
        <v>2000</v>
      </c>
      <c r="J1451" s="54" t="str">
        <f t="shared" si="66"/>
        <v>MNL15-4</v>
      </c>
    </row>
    <row r="1452" spans="1:10" hidden="1">
      <c r="A1452" s="1655" t="s">
        <v>2045</v>
      </c>
      <c r="C1452" s="1655" t="s">
        <v>2497</v>
      </c>
      <c r="D1452" s="54" t="s">
        <v>2385</v>
      </c>
      <c r="F1452" s="54">
        <v>2000</v>
      </c>
      <c r="J1452" s="54" t="str">
        <f t="shared" si="66"/>
        <v xml:space="preserve">MNX15-6 </v>
      </c>
    </row>
    <row r="1453" spans="1:10" hidden="1">
      <c r="A1453" s="1655" t="s">
        <v>1094</v>
      </c>
      <c r="C1453" s="1655" t="s">
        <v>2498</v>
      </c>
      <c r="D1453" s="54" t="s">
        <v>2385</v>
      </c>
      <c r="F1453" s="54">
        <v>2000</v>
      </c>
      <c r="J1453" s="54" t="str">
        <f t="shared" si="66"/>
        <v xml:space="preserve">MNL15-6 </v>
      </c>
    </row>
    <row r="1454" spans="1:10" hidden="1">
      <c r="A1454" s="1655" t="s">
        <v>28</v>
      </c>
      <c r="C1454" s="1655" t="s">
        <v>4405</v>
      </c>
      <c r="D1454" s="54" t="s">
        <v>2301</v>
      </c>
      <c r="F1454" s="54">
        <v>2000</v>
      </c>
      <c r="J1454" s="54" t="str">
        <f t="shared" si="66"/>
        <v>DDTT3P-ct</v>
      </c>
    </row>
    <row r="1455" spans="1:10" hidden="1">
      <c r="A1455" s="1655" t="s">
        <v>742</v>
      </c>
      <c r="C1455" s="1655" t="s">
        <v>2527</v>
      </c>
      <c r="D1455" s="54" t="s">
        <v>2301</v>
      </c>
      <c r="F1455" s="54">
        <v>2000</v>
      </c>
      <c r="J1455" s="54" t="str">
        <f t="shared" si="66"/>
        <v>DDTT3P2m-m</v>
      </c>
    </row>
    <row r="1456" spans="1:10" hidden="1">
      <c r="A1456" s="1655" t="s">
        <v>1919</v>
      </c>
      <c r="C1456" s="1655" t="s">
        <v>4466</v>
      </c>
      <c r="D1456" s="54" t="s">
        <v>2301</v>
      </c>
      <c r="F1456" s="54">
        <v>2000</v>
      </c>
      <c r="J1456" s="54" t="str">
        <f t="shared" si="66"/>
        <v>DDTT3P1m-m</v>
      </c>
    </row>
    <row r="1457" spans="1:10" hidden="1">
      <c r="A1457" s="1655" t="s">
        <v>1978</v>
      </c>
      <c r="C1457" s="1655" t="s">
        <v>2554</v>
      </c>
      <c r="D1457" s="54" t="s">
        <v>2301</v>
      </c>
      <c r="F1457" s="54">
        <v>2000</v>
      </c>
      <c r="J1457" s="54" t="str">
        <f t="shared" si="66"/>
        <v>DDTT1P-m</v>
      </c>
    </row>
    <row r="1458" spans="1:10" hidden="1">
      <c r="A1458" s="1655" t="s">
        <v>284</v>
      </c>
      <c r="C1458" s="1655" t="s">
        <v>2559</v>
      </c>
      <c r="D1458" s="54" t="s">
        <v>2301</v>
      </c>
      <c r="F1458" s="54">
        <v>2000</v>
      </c>
      <c r="J1458" s="54" t="str">
        <f t="shared" si="66"/>
        <v>DDHTDL</v>
      </c>
    </row>
    <row r="1459" spans="1:10" hidden="1">
      <c r="A1459" s="1655" t="s">
        <v>31</v>
      </c>
      <c r="C1459" s="1655" t="s">
        <v>2564</v>
      </c>
      <c r="D1459" s="54" t="s">
        <v>2301</v>
      </c>
      <c r="F1459" s="54">
        <v>2000</v>
      </c>
      <c r="J1459" s="54" t="str">
        <f t="shared" si="66"/>
        <v>DDHTHH</v>
      </c>
    </row>
    <row r="1460" spans="1:10" hidden="1">
      <c r="A1460" s="1655" t="s">
        <v>162</v>
      </c>
      <c r="C1460" s="1655" t="s">
        <v>2565</v>
      </c>
      <c r="D1460" s="54" t="s">
        <v>2301</v>
      </c>
      <c r="F1460" s="54">
        <v>2000</v>
      </c>
      <c r="J1460" s="54" t="str">
        <f t="shared" si="66"/>
        <v>HTCS</v>
      </c>
    </row>
    <row r="1461" spans="1:10" hidden="1">
      <c r="A1461" s="1655" t="s">
        <v>1498</v>
      </c>
      <c r="C1461" s="1655" t="s">
        <v>2566</v>
      </c>
      <c r="F1461" s="54">
        <v>2000</v>
      </c>
      <c r="J1461" s="54" t="str">
        <f t="shared" si="66"/>
        <v>Hotline</v>
      </c>
    </row>
    <row r="1462" spans="1:10" hidden="1">
      <c r="A1462" s="1655" t="s">
        <v>589</v>
      </c>
      <c r="C1462" s="1655" t="s">
        <v>2567</v>
      </c>
      <c r="F1462" s="54">
        <v>2000</v>
      </c>
      <c r="J1462" s="54" t="str">
        <f t="shared" si="66"/>
        <v>TBDD3pct</v>
      </c>
    </row>
    <row r="1463" spans="1:10" hidden="1">
      <c r="A1463" s="1655" t="s">
        <v>1922</v>
      </c>
      <c r="C1463" s="1655" t="s">
        <v>2568</v>
      </c>
      <c r="F1463" s="54">
        <v>2000</v>
      </c>
      <c r="J1463" s="54" t="str">
        <f t="shared" si="66"/>
        <v>TBDD3p2m</v>
      </c>
    </row>
    <row r="1464" spans="1:10" hidden="1">
      <c r="A1464" s="1655" t="s">
        <v>1139</v>
      </c>
      <c r="C1464" s="1655" t="s">
        <v>2569</v>
      </c>
      <c r="F1464" s="54">
        <v>2000</v>
      </c>
      <c r="J1464" s="54" t="str">
        <f t="shared" si="66"/>
        <v>TBDD3p1m</v>
      </c>
    </row>
    <row r="1465" spans="1:10" hidden="1">
      <c r="A1465" s="1655" t="s">
        <v>2312</v>
      </c>
      <c r="C1465" s="1655" t="s">
        <v>2570</v>
      </c>
      <c r="F1465" s="54">
        <v>2000</v>
      </c>
      <c r="J1465" s="54" t="str">
        <f t="shared" si="66"/>
        <v>TĐĐ</v>
      </c>
    </row>
    <row r="1466" spans="1:10" hidden="1">
      <c r="A1466" s="1655" t="s">
        <v>1899</v>
      </c>
      <c r="C1466" s="1655" t="s">
        <v>2571</v>
      </c>
      <c r="F1466" s="54">
        <v>2000</v>
      </c>
      <c r="J1466" s="54" t="str">
        <f t="shared" si="66"/>
        <v>TBDD1p</v>
      </c>
    </row>
    <row r="1467" spans="1:10" hidden="1">
      <c r="A1467" s="1655" t="s">
        <v>947</v>
      </c>
      <c r="C1467" s="1655" t="s">
        <v>2572</v>
      </c>
      <c r="F1467" s="54">
        <v>2000</v>
      </c>
      <c r="J1467" s="54" t="str">
        <f t="shared" si="66"/>
        <v>TBHT</v>
      </c>
    </row>
    <row r="1468" spans="1:10" hidden="1">
      <c r="A1468" s="1655" t="s">
        <v>1044</v>
      </c>
      <c r="C1468" s="1655" t="s">
        <v>2573</v>
      </c>
      <c r="F1468" s="54">
        <v>2000</v>
      </c>
      <c r="J1468" s="54" t="str">
        <f t="shared" si="66"/>
        <v>BBVS</v>
      </c>
    </row>
    <row r="1469" spans="1:10" hidden="1">
      <c r="A1469" s="1655" t="s">
        <v>1045</v>
      </c>
      <c r="C1469" s="1655" t="s">
        <v>2574</v>
      </c>
      <c r="D1469" s="54" t="s">
        <v>2575</v>
      </c>
      <c r="F1469" s="54">
        <v>2000</v>
      </c>
      <c r="J1469" s="54" t="str">
        <f t="shared" si="66"/>
        <v>CBH9</v>
      </c>
    </row>
    <row r="1470" spans="1:10" hidden="1">
      <c r="A1470" s="1655" t="s">
        <v>1046</v>
      </c>
      <c r="C1470" s="1655" t="s">
        <v>2576</v>
      </c>
      <c r="D1470" s="54" t="s">
        <v>2577</v>
      </c>
      <c r="F1470" s="54">
        <v>2000</v>
      </c>
      <c r="J1470" s="54" t="str">
        <f t="shared" si="66"/>
        <v>BBH1212</v>
      </c>
    </row>
    <row r="1471" spans="1:10" hidden="1">
      <c r="A1471" s="1655" t="s">
        <v>1047</v>
      </c>
      <c r="C1471" s="1655" t="s">
        <v>2578</v>
      </c>
      <c r="D1471" s="54" t="s">
        <v>2327</v>
      </c>
      <c r="F1471" s="54">
        <v>2000</v>
      </c>
      <c r="J1471" s="54" t="str">
        <f t="shared" si="66"/>
        <v>MCBH1212</v>
      </c>
    </row>
    <row r="1472" spans="1:10" ht="16.8" hidden="1">
      <c r="A1472" s="1675" t="s">
        <v>2499</v>
      </c>
      <c r="C1472" s="1655" t="s">
        <v>2500</v>
      </c>
      <c r="D1472" s="54" t="s">
        <v>2439</v>
      </c>
      <c r="F1472" s="54">
        <v>2000</v>
      </c>
      <c r="J1472" s="54" t="str">
        <f t="shared" si="66"/>
        <v>Đth-U</v>
      </c>
    </row>
    <row r="1473" spans="1:10" ht="16.8" hidden="1">
      <c r="A1473" s="1675" t="s">
        <v>1621</v>
      </c>
      <c r="C1473" s="1655" t="s">
        <v>2501</v>
      </c>
      <c r="D1473" s="54" t="s">
        <v>2439</v>
      </c>
      <c r="F1473" s="54">
        <v>2000</v>
      </c>
      <c r="J1473" s="54" t="str">
        <f t="shared" si="66"/>
        <v>Nth-U</v>
      </c>
    </row>
    <row r="1474" spans="1:10" ht="16.8" hidden="1">
      <c r="A1474" s="1675" t="s">
        <v>1622</v>
      </c>
      <c r="C1474" s="1655" t="s">
        <v>6533</v>
      </c>
      <c r="D1474" s="54" t="s">
        <v>2439</v>
      </c>
      <c r="F1474" s="54">
        <v>2000</v>
      </c>
      <c r="J1474" s="54" t="str">
        <f t="shared" si="66"/>
        <v>Nth-T</v>
      </c>
    </row>
    <row r="1475" spans="1:10" ht="16.8" hidden="1">
      <c r="A1475" s="1675" t="s">
        <v>2160</v>
      </c>
      <c r="C1475" s="1655" t="s">
        <v>6534</v>
      </c>
      <c r="D1475" s="54" t="s">
        <v>2439</v>
      </c>
      <c r="F1475" s="54">
        <v>2000</v>
      </c>
      <c r="J1475" s="54" t="str">
        <f t="shared" si="66"/>
        <v>Nth-X</v>
      </c>
    </row>
    <row r="1476" spans="1:10" ht="16.8" hidden="1">
      <c r="A1476" s="1675" t="s">
        <v>2504</v>
      </c>
      <c r="C1476" s="1655" t="s">
        <v>2505</v>
      </c>
      <c r="D1476" s="54" t="s">
        <v>2439</v>
      </c>
      <c r="E1476" s="2008" t="str">
        <f>LEFT(A1476,2)</f>
        <v>SĐ</v>
      </c>
      <c r="F1476" s="54">
        <v>2000</v>
      </c>
      <c r="J1476" s="54" t="str">
        <f t="shared" si="66"/>
        <v>SĐU</v>
      </c>
    </row>
    <row r="1477" spans="1:10" ht="16.8" hidden="1">
      <c r="A1477" s="1675" t="s">
        <v>2506</v>
      </c>
      <c r="C1477" s="1655" t="s">
        <v>2507</v>
      </c>
      <c r="D1477" s="54" t="s">
        <v>2439</v>
      </c>
      <c r="F1477" s="54">
        <v>2000</v>
      </c>
      <c r="J1477" s="54" t="str">
        <f t="shared" si="66"/>
        <v>SĐI</v>
      </c>
    </row>
    <row r="1478" spans="1:10" ht="16.8" hidden="1">
      <c r="A1478" s="1675" t="s">
        <v>2508</v>
      </c>
      <c r="C1478" s="1655" t="s">
        <v>2509</v>
      </c>
      <c r="D1478" s="54" t="s">
        <v>2439</v>
      </c>
      <c r="F1478" s="54">
        <v>2000</v>
      </c>
      <c r="J1478" s="54" t="str">
        <f t="shared" si="66"/>
        <v>SĐG</v>
      </c>
    </row>
    <row r="1479" spans="1:10" ht="16.8" hidden="1">
      <c r="A1479" s="1675" t="s">
        <v>2510</v>
      </c>
      <c r="C1479" s="1655" t="s">
        <v>2511</v>
      </c>
      <c r="D1479" s="54" t="s">
        <v>2439</v>
      </c>
      <c r="F1479" s="54">
        <v>2000</v>
      </c>
      <c r="J1479" s="54" t="str">
        <f t="shared" si="66"/>
        <v>CĐT 2BAT-T</v>
      </c>
    </row>
    <row r="1480" spans="1:10" ht="16.8" hidden="1">
      <c r="A1480" s="1675" t="s">
        <v>2513</v>
      </c>
      <c r="C1480" s="1655" t="s">
        <v>2514</v>
      </c>
      <c r="D1480" s="54" t="s">
        <v>2439</v>
      </c>
      <c r="F1480" s="54">
        <v>2000</v>
      </c>
      <c r="J1480" s="54" t="str">
        <f t="shared" si="66"/>
        <v>CĐT 2BAT-X</v>
      </c>
    </row>
    <row r="1481" spans="1:10" ht="16.8" hidden="1">
      <c r="A1481" s="1675" t="s">
        <v>2515</v>
      </c>
      <c r="C1481" s="1655" t="s">
        <v>6522</v>
      </c>
      <c r="D1481" s="54" t="s">
        <v>2439</v>
      </c>
      <c r="F1481" s="54">
        <v>2000</v>
      </c>
      <c r="J1481" s="54" t="str">
        <f t="shared" ref="J1481" si="67">A1481</f>
        <v>CĐT ply-X</v>
      </c>
    </row>
    <row r="1482" spans="1:10" ht="16.8" hidden="1">
      <c r="A1482" s="1675" t="s">
        <v>6520</v>
      </c>
      <c r="C1482" s="1655" t="s">
        <v>6521</v>
      </c>
      <c r="D1482" s="54" t="s">
        <v>2439</v>
      </c>
      <c r="F1482" s="54">
        <v>2000</v>
      </c>
      <c r="J1482" s="54" t="str">
        <f t="shared" si="66"/>
        <v>CĐT ply-XK</v>
      </c>
    </row>
    <row r="1483" spans="1:10" ht="16.8" hidden="1">
      <c r="A1483" s="1675" t="s">
        <v>2529</v>
      </c>
      <c r="C1483" s="1655" t="s">
        <v>6522</v>
      </c>
      <c r="D1483" s="54" t="s">
        <v>2439</v>
      </c>
      <c r="F1483" s="54">
        <v>2000</v>
      </c>
      <c r="J1483" s="54" t="str">
        <f t="shared" si="66"/>
        <v>CĐT pty-X</v>
      </c>
    </row>
    <row r="1484" spans="1:10" ht="16.8" hidden="1">
      <c r="A1484" s="1675" t="s">
        <v>2534</v>
      </c>
      <c r="C1484" s="1655" t="s">
        <v>2535</v>
      </c>
      <c r="D1484" s="54" t="s">
        <v>2439</v>
      </c>
      <c r="F1484" s="54">
        <v>2000</v>
      </c>
      <c r="J1484" s="54" t="str">
        <f t="shared" si="66"/>
        <v>Đth-U-g</v>
      </c>
    </row>
    <row r="1485" spans="1:10" ht="16.8" hidden="1">
      <c r="A1485" s="1675" t="s">
        <v>2536</v>
      </c>
      <c r="C1485" s="1655" t="s">
        <v>2537</v>
      </c>
      <c r="D1485" s="54" t="s">
        <v>2439</v>
      </c>
      <c r="F1485" s="54">
        <v>2000</v>
      </c>
      <c r="J1485" s="54" t="str">
        <f t="shared" si="66"/>
        <v>Đth-X</v>
      </c>
    </row>
    <row r="1486" spans="1:10" ht="16.8" hidden="1">
      <c r="A1486" s="1675" t="s">
        <v>534</v>
      </c>
      <c r="C1486" s="1655" t="s">
        <v>6535</v>
      </c>
      <c r="D1486" s="54" t="s">
        <v>2439</v>
      </c>
      <c r="F1486" s="54">
        <v>2000</v>
      </c>
      <c r="J1486" s="54" t="str">
        <f t="shared" si="66"/>
        <v>Nth-T-g</v>
      </c>
    </row>
    <row r="1487" spans="1:10" ht="16.8" hidden="1">
      <c r="A1487" s="1675" t="s">
        <v>2540</v>
      </c>
      <c r="C1487" s="1655" t="s">
        <v>6522</v>
      </c>
      <c r="D1487" s="54" t="s">
        <v>2439</v>
      </c>
      <c r="F1487" s="54">
        <v>2000</v>
      </c>
      <c r="J1487" s="54" t="str">
        <f t="shared" si="66"/>
        <v>CĐTply-X</v>
      </c>
    </row>
    <row r="1488" spans="1:10" ht="16.8" hidden="1">
      <c r="A1488" s="1675" t="s">
        <v>2541</v>
      </c>
      <c r="C1488" s="1655" t="s">
        <v>6523</v>
      </c>
      <c r="D1488" s="54" t="s">
        <v>2439</v>
      </c>
      <c r="F1488" s="54">
        <v>2000</v>
      </c>
      <c r="J1488" s="54" t="str">
        <f t="shared" si="66"/>
        <v>CĐTply-T</v>
      </c>
    </row>
    <row r="1489" spans="1:10" hidden="1">
      <c r="A1489" s="1655" t="str">
        <f>"ttf-"&amp;H1489</f>
        <v>ttf-50</v>
      </c>
      <c r="C1489" s="1655" t="str">
        <f>"Dây buộc đầu sứ cỡ dây "&amp;H1489&amp;"mm2"</f>
        <v>Dây buộc đầu sứ cỡ dây 50mm2</v>
      </c>
      <c r="D1489" s="54" t="s">
        <v>2555</v>
      </c>
      <c r="F1489" s="54">
        <v>50</v>
      </c>
      <c r="H1489" s="54">
        <v>50</v>
      </c>
      <c r="J1489" s="54" t="str">
        <f t="shared" si="66"/>
        <v>ttf-50</v>
      </c>
    </row>
    <row r="1490" spans="1:10" hidden="1">
      <c r="A1490" s="1655" t="str">
        <f>"ssf-"&amp;H1490</f>
        <v>ssf-70</v>
      </c>
      <c r="C1490" s="1655" t="str">
        <f>"Dây buộc cổ sứ cỡ dây "&amp;H1490&amp;"mm2"</f>
        <v>Dây buộc cổ sứ cỡ dây 70mm2</v>
      </c>
      <c r="D1490" s="54" t="s">
        <v>2555</v>
      </c>
      <c r="F1490" s="54">
        <v>50</v>
      </c>
      <c r="H1490" s="54">
        <v>70</v>
      </c>
      <c r="J1490" s="54" t="str">
        <f t="shared" si="66"/>
        <v>ssf-70</v>
      </c>
    </row>
    <row r="1491" spans="1:10" hidden="1">
      <c r="A1491" s="1655" t="s">
        <v>4629</v>
      </c>
      <c r="C1491" s="1655" t="s">
        <v>4630</v>
      </c>
      <c r="D1491" s="54" t="s">
        <v>856</v>
      </c>
      <c r="F1491" s="54">
        <v>999</v>
      </c>
      <c r="J1491" s="54" t="str">
        <f t="shared" si="66"/>
        <v>GO-CH</v>
      </c>
    </row>
    <row r="1492" spans="1:10" hidden="1">
      <c r="A1492" s="1655" t="s">
        <v>4631</v>
      </c>
      <c r="C1492" s="1655" t="s">
        <v>4632</v>
      </c>
      <c r="D1492" s="54" t="s">
        <v>856</v>
      </c>
      <c r="F1492" s="54">
        <v>999</v>
      </c>
      <c r="J1492" s="54" t="str">
        <f t="shared" si="66"/>
        <v>GO-DN</v>
      </c>
    </row>
    <row r="1493" spans="1:10" hidden="1">
      <c r="A1493" s="1655" t="s">
        <v>4633</v>
      </c>
      <c r="C1493" s="1655" t="s">
        <v>4634</v>
      </c>
      <c r="D1493" s="54" t="s">
        <v>856</v>
      </c>
      <c r="F1493" s="54">
        <v>999</v>
      </c>
      <c r="J1493" s="54" t="str">
        <f t="shared" si="66"/>
        <v>GO-V</v>
      </c>
    </row>
    <row r="1494" spans="1:10" hidden="1">
      <c r="A1494" s="1655" t="s">
        <v>4635</v>
      </c>
      <c r="C1494" s="1655" t="s">
        <v>4636</v>
      </c>
      <c r="D1494" s="54" t="s">
        <v>856</v>
      </c>
      <c r="F1494" s="54">
        <v>2000</v>
      </c>
      <c r="J1494" s="54" t="str">
        <f t="shared" si="66"/>
        <v>MDD3R1</v>
      </c>
    </row>
    <row r="1495" spans="1:10" hidden="1">
      <c r="A1495" s="1655" t="s">
        <v>4637</v>
      </c>
      <c r="C1495" s="1655" t="s">
        <v>4638</v>
      </c>
      <c r="D1495" s="54" t="s">
        <v>2439</v>
      </c>
      <c r="F1495" s="54">
        <v>50</v>
      </c>
      <c r="J1495" s="54" t="str">
        <f t="shared" si="66"/>
        <v>B16750V</v>
      </c>
    </row>
    <row r="1496" spans="1:10" hidden="1">
      <c r="A1496" s="1655" t="s">
        <v>4836</v>
      </c>
      <c r="C1496" s="1655" t="s">
        <v>4837</v>
      </c>
      <c r="D1496" s="54" t="s">
        <v>2439</v>
      </c>
      <c r="F1496" s="54">
        <v>50</v>
      </c>
      <c r="J1496" s="54" t="str">
        <f t="shared" si="66"/>
        <v>B16800V</v>
      </c>
    </row>
    <row r="1497" spans="1:10" hidden="1">
      <c r="A1497" s="1655" t="s">
        <v>4639</v>
      </c>
      <c r="C1497" s="1655" t="s">
        <v>4640</v>
      </c>
      <c r="D1497" s="54" t="s">
        <v>4641</v>
      </c>
      <c r="F1497" s="54">
        <v>3000</v>
      </c>
      <c r="J1497" s="54" t="str">
        <f t="shared" si="66"/>
        <v>LVANK</v>
      </c>
    </row>
    <row r="1498" spans="1:10" hidden="1">
      <c r="A1498" s="1655" t="s">
        <v>4642</v>
      </c>
      <c r="C1498" s="1655" t="s">
        <v>4643</v>
      </c>
      <c r="D1498" s="54" t="s">
        <v>2831</v>
      </c>
      <c r="F1498" s="54">
        <v>16</v>
      </c>
      <c r="J1498" s="54" t="str">
        <f t="shared" si="66"/>
        <v>T12540</v>
      </c>
    </row>
    <row r="1499" spans="1:10" hidden="1">
      <c r="A1499" s="1655" t="s">
        <v>4644</v>
      </c>
      <c r="C1499" s="1655" t="s">
        <v>4645</v>
      </c>
      <c r="D1499" s="54" t="s">
        <v>4646</v>
      </c>
      <c r="F1499" s="54">
        <v>50</v>
      </c>
      <c r="J1499" s="54" t="str">
        <f t="shared" si="66"/>
        <v>d22</v>
      </c>
    </row>
    <row r="1500" spans="1:10" hidden="1">
      <c r="A1500" s="1655" t="s">
        <v>4647</v>
      </c>
      <c r="C1500" s="1655" t="s">
        <v>4648</v>
      </c>
      <c r="D1500" s="54" t="s">
        <v>4646</v>
      </c>
      <c r="F1500" s="54">
        <v>50</v>
      </c>
      <c r="J1500" s="54" t="str">
        <f t="shared" si="66"/>
        <v>t81</v>
      </c>
    </row>
    <row r="1501" spans="1:10" hidden="1">
      <c r="A1501" s="1655" t="s">
        <v>4649</v>
      </c>
      <c r="C1501" s="1655" t="s">
        <v>4650</v>
      </c>
      <c r="D1501" s="54" t="s">
        <v>4646</v>
      </c>
      <c r="F1501" s="54">
        <v>50</v>
      </c>
      <c r="J1501" s="54" t="str">
        <f t="shared" si="66"/>
        <v>d200</v>
      </c>
    </row>
    <row r="1502" spans="1:10" hidden="1">
      <c r="A1502" s="1655" t="s">
        <v>4651</v>
      </c>
      <c r="C1502" s="1655" t="s">
        <v>4652</v>
      </c>
      <c r="D1502" s="54" t="s">
        <v>4646</v>
      </c>
      <c r="F1502" s="54">
        <v>50</v>
      </c>
      <c r="J1502" s="54" t="str">
        <f t="shared" si="66"/>
        <v>t115</v>
      </c>
    </row>
    <row r="1503" spans="1:10" hidden="1">
      <c r="A1503" s="1655" t="s">
        <v>4653</v>
      </c>
      <c r="C1503" s="1655" t="s">
        <v>4654</v>
      </c>
      <c r="D1503" s="54" t="s">
        <v>2439</v>
      </c>
      <c r="F1503" s="54">
        <v>2000</v>
      </c>
      <c r="J1503" s="54" t="str">
        <f t="shared" si="66"/>
        <v>XT2</v>
      </c>
    </row>
    <row r="1504" spans="1:10" hidden="1">
      <c r="A1504" s="1655" t="s">
        <v>4655</v>
      </c>
      <c r="C1504" s="1655" t="s">
        <v>4656</v>
      </c>
      <c r="D1504" s="54" t="s">
        <v>2439</v>
      </c>
      <c r="F1504" s="54">
        <v>2000</v>
      </c>
      <c r="J1504" s="54" t="str">
        <f t="shared" si="66"/>
        <v>XTK2</v>
      </c>
    </row>
    <row r="1505" spans="1:10" hidden="1">
      <c r="A1505" s="1655" t="s">
        <v>4657</v>
      </c>
      <c r="C1505" s="1655" t="s">
        <v>4658</v>
      </c>
      <c r="D1505" s="54" t="s">
        <v>2555</v>
      </c>
      <c r="F1505" s="54">
        <v>50</v>
      </c>
      <c r="J1505" s="54" t="str">
        <f t="shared" ref="J1505:J1548" si="68">A1505</f>
        <v>MANG4</v>
      </c>
    </row>
    <row r="1506" spans="1:10" hidden="1">
      <c r="A1506" s="1655" t="s">
        <v>4659</v>
      </c>
      <c r="C1506" s="1655" t="s">
        <v>4660</v>
      </c>
      <c r="D1506" s="54" t="s">
        <v>2532</v>
      </c>
      <c r="F1506" s="54">
        <v>11</v>
      </c>
      <c r="J1506" s="54" t="str">
        <f t="shared" si="68"/>
        <v>ACX50</v>
      </c>
    </row>
    <row r="1507" spans="1:10" hidden="1">
      <c r="A1507" s="1655" t="s">
        <v>4661</v>
      </c>
      <c r="C1507" s="1655" t="s">
        <v>4662</v>
      </c>
      <c r="D1507" s="54" t="s">
        <v>2555</v>
      </c>
      <c r="F1507" s="54">
        <v>50</v>
      </c>
      <c r="J1507" s="54" t="str">
        <f t="shared" si="68"/>
        <v>GNIU 185</v>
      </c>
    </row>
    <row r="1508" spans="1:10" hidden="1">
      <c r="A1508" s="1655" t="s">
        <v>4663</v>
      </c>
      <c r="C1508" s="1655" t="s">
        <v>4664</v>
      </c>
      <c r="D1508" s="54" t="s">
        <v>2555</v>
      </c>
      <c r="F1508" s="54">
        <v>50</v>
      </c>
      <c r="J1508" s="54" t="str">
        <f t="shared" si="68"/>
        <v>GNIU50</v>
      </c>
    </row>
    <row r="1509" spans="1:10" hidden="1">
      <c r="A1509" s="1655" t="s">
        <v>4665</v>
      </c>
      <c r="C1509" s="1655" t="s">
        <v>4666</v>
      </c>
      <c r="D1509" s="54" t="s">
        <v>2555</v>
      </c>
      <c r="F1509" s="54">
        <v>50</v>
      </c>
      <c r="J1509" s="54" t="str">
        <f t="shared" si="68"/>
        <v>ke279</v>
      </c>
    </row>
    <row r="1510" spans="1:10" hidden="1">
      <c r="A1510" s="1655" t="s">
        <v>4667</v>
      </c>
      <c r="C1510" s="1655" t="s">
        <v>4668</v>
      </c>
      <c r="D1510" s="54" t="s">
        <v>2555</v>
      </c>
      <c r="F1510" s="54">
        <v>50</v>
      </c>
      <c r="J1510" s="54" t="str">
        <f t="shared" si="68"/>
        <v>ke419</v>
      </c>
    </row>
    <row r="1511" spans="1:10" hidden="1">
      <c r="A1511" s="1655" t="s">
        <v>4669</v>
      </c>
      <c r="C1511" s="1655" t="s">
        <v>4670</v>
      </c>
      <c r="D1511" s="54" t="s">
        <v>2555</v>
      </c>
      <c r="F1511" s="54">
        <v>50</v>
      </c>
      <c r="J1511" s="54" t="str">
        <f t="shared" si="68"/>
        <v>ke929</v>
      </c>
    </row>
    <row r="1512" spans="1:10" hidden="1">
      <c r="A1512" s="1655" t="s">
        <v>4671</v>
      </c>
      <c r="C1512" s="1655" t="s">
        <v>4767</v>
      </c>
      <c r="D1512" s="54" t="s">
        <v>1823</v>
      </c>
      <c r="F1512" s="54">
        <v>50</v>
      </c>
      <c r="J1512" s="54" t="str">
        <f t="shared" si="68"/>
        <v>OCN</v>
      </c>
    </row>
    <row r="1513" spans="1:10" hidden="1">
      <c r="A1513" s="1655" t="s">
        <v>4672</v>
      </c>
      <c r="C1513" s="1655" t="s">
        <v>4673</v>
      </c>
      <c r="D1513" s="54" t="s">
        <v>2439</v>
      </c>
      <c r="F1513" s="54">
        <v>50</v>
      </c>
      <c r="J1513" s="54" t="str">
        <f t="shared" si="68"/>
        <v>chupU</v>
      </c>
    </row>
    <row r="1514" spans="1:10" hidden="1">
      <c r="A1514" s="1655" t="s">
        <v>4674</v>
      </c>
      <c r="C1514" s="1655" t="s">
        <v>4675</v>
      </c>
      <c r="D1514" s="54" t="s">
        <v>2385</v>
      </c>
      <c r="F1514" s="54">
        <v>50</v>
      </c>
      <c r="J1514" s="54" t="str">
        <f t="shared" si="68"/>
        <v>KDIN</v>
      </c>
    </row>
    <row r="1515" spans="1:10" hidden="1">
      <c r="A1515" s="1655" t="str">
        <f>"ttf-"&amp;H1515</f>
        <v>ttf-70</v>
      </c>
      <c r="C1515" s="1655" t="str">
        <f>"Dây buộc đầu sứ cỡ dây "&amp;H1515&amp;"mm2"</f>
        <v>Dây buộc đầu sứ cỡ dây 70mm2</v>
      </c>
      <c r="D1515" s="54" t="s">
        <v>2555</v>
      </c>
      <c r="F1515" s="54">
        <v>50</v>
      </c>
      <c r="H1515" s="54">
        <v>70</v>
      </c>
      <c r="J1515" s="54" t="str">
        <f t="shared" si="68"/>
        <v>ttf-70</v>
      </c>
    </row>
    <row r="1516" spans="1:10" hidden="1">
      <c r="A1516" s="1655" t="str">
        <f>"ssf-"&amp;H1516</f>
        <v>ssf-95</v>
      </c>
      <c r="C1516" s="1655" t="str">
        <f>"Dây buộc cổ sứ cỡ dây "&amp;H1516&amp;"mm2"</f>
        <v>Dây buộc cổ sứ cỡ dây 95mm2</v>
      </c>
      <c r="D1516" s="54" t="s">
        <v>2555</v>
      </c>
      <c r="F1516" s="54">
        <v>50</v>
      </c>
      <c r="H1516" s="54">
        <v>95</v>
      </c>
      <c r="J1516" s="54" t="str">
        <f t="shared" si="68"/>
        <v>ssf-95</v>
      </c>
    </row>
    <row r="1517" spans="1:10" hidden="1">
      <c r="A1517" s="1655" t="s">
        <v>4676</v>
      </c>
      <c r="C1517" s="1655" t="s">
        <v>4677</v>
      </c>
      <c r="D1517" s="54" t="s">
        <v>2439</v>
      </c>
      <c r="E1517" s="2008" t="str">
        <f>LEFT(A1517,2)</f>
        <v>LS</v>
      </c>
      <c r="F1517" s="54">
        <v>2000</v>
      </c>
      <c r="J1517" s="54" t="str">
        <f t="shared" si="68"/>
        <v>LSDD</v>
      </c>
    </row>
    <row r="1518" spans="1:10" hidden="1">
      <c r="A1518" s="1655" t="s">
        <v>4678</v>
      </c>
      <c r="C1518" s="1655" t="s">
        <v>3710</v>
      </c>
      <c r="D1518" s="54" t="s">
        <v>2439</v>
      </c>
      <c r="F1518" s="54">
        <v>2000</v>
      </c>
      <c r="J1518" s="54" t="str">
        <f t="shared" si="68"/>
        <v>BTLT 12 F540</v>
      </c>
    </row>
    <row r="1519" spans="1:10" hidden="1">
      <c r="A1519" s="1655" t="s">
        <v>4679</v>
      </c>
      <c r="C1519" s="1655" t="s">
        <v>4680</v>
      </c>
      <c r="D1519" s="54" t="s">
        <v>2555</v>
      </c>
      <c r="E1519" s="2008" t="s">
        <v>4681</v>
      </c>
      <c r="F1519" s="54">
        <v>18</v>
      </c>
      <c r="J1519" s="54" t="str">
        <f t="shared" si="68"/>
        <v>TC920</v>
      </c>
    </row>
    <row r="1520" spans="1:10" hidden="1">
      <c r="A1520" s="1655" t="s">
        <v>4682</v>
      </c>
      <c r="C1520" s="1655" t="s">
        <v>4683</v>
      </c>
      <c r="D1520" s="54" t="s">
        <v>2555</v>
      </c>
      <c r="E1520" s="2008" t="s">
        <v>4681</v>
      </c>
      <c r="F1520" s="54">
        <v>18</v>
      </c>
      <c r="J1520" s="54" t="str">
        <f t="shared" si="68"/>
        <v>TC810</v>
      </c>
    </row>
    <row r="1521" spans="1:10" hidden="1">
      <c r="A1521" s="1655" t="s">
        <v>4684</v>
      </c>
      <c r="C1521" s="1655" t="s">
        <v>4685</v>
      </c>
      <c r="D1521" s="54" t="s">
        <v>2555</v>
      </c>
      <c r="E1521" s="2008" t="s">
        <v>4681</v>
      </c>
      <c r="F1521" s="54">
        <v>18</v>
      </c>
      <c r="J1521" s="54" t="str">
        <f t="shared" si="68"/>
        <v>TC1150</v>
      </c>
    </row>
    <row r="1522" spans="1:10" hidden="1">
      <c r="A1522" s="1655" t="s">
        <v>4686</v>
      </c>
      <c r="C1522" s="1655" t="s">
        <v>4687</v>
      </c>
      <c r="D1522" s="54" t="s">
        <v>3444</v>
      </c>
      <c r="F1522" s="54">
        <v>17</v>
      </c>
      <c r="J1522" s="54" t="str">
        <f t="shared" si="68"/>
        <v>Xa1660</v>
      </c>
    </row>
    <row r="1523" spans="1:10" hidden="1">
      <c r="A1523" s="1655" t="s">
        <v>4688</v>
      </c>
      <c r="C1523" s="1655" t="s">
        <v>4689</v>
      </c>
      <c r="D1523" s="54" t="s">
        <v>3444</v>
      </c>
      <c r="F1523" s="54">
        <v>17</v>
      </c>
      <c r="J1523" s="54" t="str">
        <f t="shared" si="68"/>
        <v>xa2000</v>
      </c>
    </row>
    <row r="1524" spans="1:10" hidden="1">
      <c r="A1524" s="1655" t="s">
        <v>4690</v>
      </c>
      <c r="C1524" s="1655" t="s">
        <v>4691</v>
      </c>
      <c r="D1524" s="54" t="s">
        <v>3444</v>
      </c>
      <c r="F1524" s="54">
        <v>17</v>
      </c>
      <c r="J1524" s="54" t="str">
        <f t="shared" si="68"/>
        <v>xa2200</v>
      </c>
    </row>
    <row r="1525" spans="1:10" hidden="1">
      <c r="A1525" s="1655" t="s">
        <v>4692</v>
      </c>
      <c r="C1525" s="1655" t="s">
        <v>4541</v>
      </c>
      <c r="D1525" s="54" t="s">
        <v>2590</v>
      </c>
      <c r="F1525" s="54">
        <v>17</v>
      </c>
      <c r="G1525" s="54" t="s">
        <v>512</v>
      </c>
      <c r="J1525" s="54" t="str">
        <f t="shared" si="68"/>
        <v>com800</v>
      </c>
    </row>
    <row r="1526" spans="1:10" hidden="1">
      <c r="A1526" s="1655" t="s">
        <v>4693</v>
      </c>
      <c r="C1526" s="1655" t="s">
        <v>4694</v>
      </c>
      <c r="D1526" s="54" t="s">
        <v>2555</v>
      </c>
      <c r="F1526" s="54">
        <v>50</v>
      </c>
      <c r="J1526" s="54" t="str">
        <f t="shared" si="68"/>
        <v>len</v>
      </c>
    </row>
    <row r="1527" spans="1:10" hidden="1">
      <c r="A1527" s="1655" t="s">
        <v>4695</v>
      </c>
      <c r="C1527" s="1655" t="s">
        <v>4696</v>
      </c>
      <c r="D1527" s="54" t="s">
        <v>2555</v>
      </c>
      <c r="F1527" s="54">
        <v>50</v>
      </c>
      <c r="J1527" s="54" t="str">
        <f>A1527</f>
        <v>Kep3U</v>
      </c>
    </row>
    <row r="1528" spans="1:10" hidden="1">
      <c r="A1528" s="1655" t="s">
        <v>4904</v>
      </c>
      <c r="C1528" s="1655" t="s">
        <v>4905</v>
      </c>
      <c r="D1528" s="54" t="s">
        <v>2555</v>
      </c>
      <c r="F1528" s="54">
        <v>50</v>
      </c>
      <c r="J1528" s="54" t="str">
        <f t="shared" si="68"/>
        <v>Kep5U</v>
      </c>
    </row>
    <row r="1529" spans="1:10" hidden="1">
      <c r="A1529" s="1655" t="s">
        <v>4697</v>
      </c>
      <c r="C1529" s="1655" t="s">
        <v>4698</v>
      </c>
      <c r="D1529" s="54" t="s">
        <v>2555</v>
      </c>
      <c r="E1529" s="2008" t="str">
        <f>LEFT(A1529,2)</f>
        <v>ts</v>
      </c>
      <c r="F1529" s="54">
        <v>50</v>
      </c>
      <c r="J1529" s="54" t="str">
        <f t="shared" si="68"/>
        <v>tsd20</v>
      </c>
    </row>
    <row r="1530" spans="1:10" hidden="1">
      <c r="A1530" s="1655" t="s">
        <v>4699</v>
      </c>
      <c r="C1530" s="1655" t="s">
        <v>4700</v>
      </c>
      <c r="D1530" s="54" t="s">
        <v>2385</v>
      </c>
      <c r="F1530" s="54">
        <v>2000</v>
      </c>
      <c r="J1530" s="54" t="str">
        <f t="shared" si="68"/>
        <v>STTT-2BAT</v>
      </c>
    </row>
    <row r="1531" spans="1:10" hidden="1">
      <c r="A1531" s="1655" t="s">
        <v>4701</v>
      </c>
      <c r="C1531" s="1655" t="s">
        <v>4702</v>
      </c>
      <c r="D1531" s="54" t="s">
        <v>2439</v>
      </c>
      <c r="F1531" s="54">
        <v>19</v>
      </c>
      <c r="J1531" s="54" t="str">
        <f t="shared" si="68"/>
        <v>cl1200</v>
      </c>
    </row>
    <row r="1532" spans="1:10" hidden="1">
      <c r="A1532" s="1655" t="s">
        <v>4703</v>
      </c>
      <c r="C1532" s="1655" t="s">
        <v>4704</v>
      </c>
      <c r="D1532" s="54" t="s">
        <v>2439</v>
      </c>
      <c r="E1532" s="2008" t="s">
        <v>4705</v>
      </c>
      <c r="F1532" s="54">
        <v>50</v>
      </c>
      <c r="J1532" s="54" t="str">
        <f t="shared" si="68"/>
        <v>BMOC16200</v>
      </c>
    </row>
    <row r="1533" spans="1:10" hidden="1">
      <c r="A1533" s="1655" t="s">
        <v>4706</v>
      </c>
      <c r="C1533" s="1655" t="s">
        <v>4707</v>
      </c>
      <c r="D1533" s="54" t="s">
        <v>2439</v>
      </c>
      <c r="F1533" s="54">
        <v>2000</v>
      </c>
      <c r="G1533" s="54" t="s">
        <v>512</v>
      </c>
      <c r="J1533" s="54" t="str">
        <f t="shared" si="68"/>
        <v>X-com800</v>
      </c>
    </row>
    <row r="1534" spans="1:10" hidden="1">
      <c r="A1534" s="1655" t="s">
        <v>4708</v>
      </c>
      <c r="C1534" s="1655" t="s">
        <v>3930</v>
      </c>
      <c r="D1534" s="54" t="s">
        <v>2555</v>
      </c>
      <c r="E1534" s="2008" t="s">
        <v>4709</v>
      </c>
      <c r="F1534" s="54">
        <v>50</v>
      </c>
      <c r="J1534" s="54" t="str">
        <f t="shared" si="68"/>
        <v>GIP</v>
      </c>
    </row>
    <row r="1535" spans="1:10" hidden="1">
      <c r="A1535" s="1655" t="s">
        <v>4713</v>
      </c>
      <c r="C1535" s="1655" t="s">
        <v>4714</v>
      </c>
      <c r="D1535" s="54" t="s">
        <v>2555</v>
      </c>
      <c r="F1535" s="54">
        <v>50</v>
      </c>
      <c r="J1535" s="54" t="str">
        <f t="shared" si="68"/>
        <v>khanhkep</v>
      </c>
    </row>
    <row r="1536" spans="1:10" hidden="1">
      <c r="A1536" s="1655" t="s">
        <v>4808</v>
      </c>
      <c r="C1536" s="1655" t="s">
        <v>4852</v>
      </c>
      <c r="D1536" s="54" t="s">
        <v>2385</v>
      </c>
      <c r="F1536" s="54">
        <v>2000</v>
      </c>
      <c r="J1536" s="54" t="str">
        <f t="shared" si="68"/>
        <v>X-22K-Đ-C920</v>
      </c>
    </row>
    <row r="1537" spans="1:10" hidden="1">
      <c r="A1537" s="1655" t="s">
        <v>4809</v>
      </c>
      <c r="C1537" s="1655" t="s">
        <v>4851</v>
      </c>
      <c r="D1537" s="54" t="s">
        <v>2385</v>
      </c>
      <c r="F1537" s="54">
        <v>2000</v>
      </c>
      <c r="J1537" s="54" t="str">
        <f t="shared" si="68"/>
        <v>X-22K-K-C920</v>
      </c>
    </row>
    <row r="1538" spans="1:10" hidden="1">
      <c r="A1538" s="1655" t="s">
        <v>4959</v>
      </c>
      <c r="C1538" s="1655" t="s">
        <v>4966</v>
      </c>
      <c r="D1538" s="54" t="s">
        <v>2555</v>
      </c>
      <c r="F1538" s="54">
        <v>50</v>
      </c>
      <c r="J1538" s="54" t="str">
        <f t="shared" si="68"/>
        <v>OXC</v>
      </c>
    </row>
    <row r="1539" spans="1:10" hidden="1">
      <c r="A1539" s="1655" t="s">
        <v>4960</v>
      </c>
      <c r="C1539" s="1655" t="s">
        <v>4967</v>
      </c>
      <c r="D1539" s="54" t="s">
        <v>4646</v>
      </c>
      <c r="F1539" s="2008">
        <v>50</v>
      </c>
      <c r="J1539" s="54" t="str">
        <f t="shared" si="68"/>
        <v>Comp24</v>
      </c>
    </row>
    <row r="1540" spans="1:10" hidden="1">
      <c r="A1540" s="1655" t="s">
        <v>4961</v>
      </c>
      <c r="C1540" s="1655" t="s">
        <v>4968</v>
      </c>
      <c r="D1540" s="54" t="s">
        <v>4646</v>
      </c>
      <c r="F1540" s="2008">
        <v>50</v>
      </c>
      <c r="J1540" s="54" t="str">
        <f t="shared" si="68"/>
        <v>TCX</v>
      </c>
    </row>
    <row r="1541" spans="1:10" hidden="1">
      <c r="A1541" s="1655" t="s">
        <v>4963</v>
      </c>
      <c r="C1541" s="1655" t="s">
        <v>4969</v>
      </c>
      <c r="D1541" s="54" t="s">
        <v>4646</v>
      </c>
      <c r="F1541" s="2008">
        <v>50</v>
      </c>
      <c r="J1541" s="54" t="str">
        <f t="shared" si="68"/>
        <v>d21</v>
      </c>
    </row>
    <row r="1542" spans="1:10" hidden="1">
      <c r="A1542" s="1655" t="s">
        <v>4964</v>
      </c>
      <c r="C1542" s="1655" t="s">
        <v>4970</v>
      </c>
      <c r="D1542" s="54" t="s">
        <v>4646</v>
      </c>
      <c r="F1542" s="2008">
        <v>50</v>
      </c>
      <c r="J1542" s="54" t="str">
        <f t="shared" si="68"/>
        <v>t199</v>
      </c>
    </row>
    <row r="1543" spans="1:10" hidden="1">
      <c r="A1543" s="1655" t="str">
        <f>"ttf-"&amp;H1543</f>
        <v>ttf-95</v>
      </c>
      <c r="C1543" s="1655" t="str">
        <f>"Dây buộc đầu sứ cỡ dây "&amp;H1543&amp;"mm2"</f>
        <v>Dây buộc đầu sứ cỡ dây 95mm2</v>
      </c>
      <c r="D1543" s="54" t="s">
        <v>2555</v>
      </c>
      <c r="F1543" s="2008">
        <v>50</v>
      </c>
      <c r="H1543" s="54">
        <v>95</v>
      </c>
      <c r="J1543" s="54" t="str">
        <f t="shared" si="68"/>
        <v>ttf-95</v>
      </c>
    </row>
    <row r="1544" spans="1:10" hidden="1">
      <c r="A1544" s="1655" t="s">
        <v>4965</v>
      </c>
      <c r="C1544" s="1655" t="s">
        <v>4978</v>
      </c>
      <c r="D1544" s="54" t="s">
        <v>2555</v>
      </c>
      <c r="F1544" s="2008">
        <v>50</v>
      </c>
      <c r="J1544" s="54" t="str">
        <f t="shared" si="68"/>
        <v>HOPPP</v>
      </c>
    </row>
    <row r="1545" spans="1:10" hidden="1">
      <c r="A1545" s="1655" t="s">
        <v>4984</v>
      </c>
      <c r="C1545" s="1655" t="s">
        <v>4979</v>
      </c>
      <c r="D1545" s="54" t="s">
        <v>2555</v>
      </c>
      <c r="F1545" s="2008">
        <v>50</v>
      </c>
      <c r="J1545" s="54" t="str">
        <f t="shared" si="68"/>
        <v>Chupm</v>
      </c>
    </row>
    <row r="1546" spans="1:10" hidden="1">
      <c r="A1546" s="1655" t="s">
        <v>4985</v>
      </c>
      <c r="C1546" s="1655" t="s">
        <v>3503</v>
      </c>
      <c r="D1546" s="54" t="s">
        <v>2555</v>
      </c>
      <c r="F1546" s="2008">
        <v>50</v>
      </c>
      <c r="J1546" s="54" t="str">
        <f t="shared" si="68"/>
        <v>Chupl</v>
      </c>
    </row>
    <row r="1547" spans="1:10" hidden="1">
      <c r="A1547" s="1655" t="s">
        <v>4988</v>
      </c>
      <c r="C1547" s="1655" t="s">
        <v>4981</v>
      </c>
      <c r="D1547" s="54" t="s">
        <v>2555</v>
      </c>
      <c r="F1547" s="2008">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55" t="s">
        <v>5044</v>
      </c>
      <c r="B1557" s="1649" t="s">
        <v>1746</v>
      </c>
      <c r="C1557" s="1655" t="s">
        <v>5045</v>
      </c>
      <c r="D1557" s="54" t="s">
        <v>2555</v>
      </c>
      <c r="F1557" s="54" t="s">
        <v>4392</v>
      </c>
    </row>
    <row r="1558" spans="1:6" hidden="1">
      <c r="A1558" s="1655" t="s">
        <v>5046</v>
      </c>
      <c r="C1558" s="1655" t="s">
        <v>5047</v>
      </c>
      <c r="D1558" s="54" t="s">
        <v>2439</v>
      </c>
      <c r="F1558" s="54" t="s">
        <v>4392</v>
      </c>
    </row>
    <row r="1559" spans="1:6" hidden="1">
      <c r="A1559" s="1655" t="s">
        <v>5048</v>
      </c>
      <c r="C1559" s="1655" t="s">
        <v>5049</v>
      </c>
      <c r="D1559" s="54" t="s">
        <v>2439</v>
      </c>
      <c r="F1559" s="54" t="s">
        <v>4392</v>
      </c>
    </row>
    <row r="1560" spans="1:6" hidden="1">
      <c r="A1560" s="1655" t="s">
        <v>5050</v>
      </c>
      <c r="C1560" s="1655" t="s">
        <v>5051</v>
      </c>
      <c r="D1560" s="54" t="s">
        <v>2439</v>
      </c>
      <c r="F1560" s="54" t="s">
        <v>4392</v>
      </c>
    </row>
    <row r="1561" spans="1:6" hidden="1">
      <c r="A1561" s="1655" t="s">
        <v>5052</v>
      </c>
      <c r="C1561" s="1655" t="s">
        <v>5053</v>
      </c>
      <c r="D1561" s="54" t="s">
        <v>2439</v>
      </c>
      <c r="F1561" s="54" t="s">
        <v>4392</v>
      </c>
    </row>
    <row r="1562" spans="1:6" hidden="1">
      <c r="A1562" s="1655" t="s">
        <v>5054</v>
      </c>
      <c r="C1562" s="1655" t="s">
        <v>5055</v>
      </c>
      <c r="D1562" s="54" t="s">
        <v>2439</v>
      </c>
      <c r="F1562" s="54">
        <v>50</v>
      </c>
    </row>
    <row r="1563" spans="1:6" hidden="1">
      <c r="A1563" s="1655" t="s">
        <v>5056</v>
      </c>
      <c r="C1563" s="1655" t="s">
        <v>5057</v>
      </c>
      <c r="D1563" s="54" t="s">
        <v>2439</v>
      </c>
      <c r="F1563" s="54" t="s">
        <v>4392</v>
      </c>
    </row>
    <row r="1564" spans="1:6" hidden="1">
      <c r="A1564" s="1655" t="s">
        <v>5058</v>
      </c>
      <c r="C1564" s="1655" t="s">
        <v>5059</v>
      </c>
      <c r="D1564" s="54" t="s">
        <v>2439</v>
      </c>
      <c r="F1564" s="54" t="s">
        <v>4392</v>
      </c>
    </row>
    <row r="1565" spans="1:6" hidden="1">
      <c r="A1565" s="1655" t="s">
        <v>5060</v>
      </c>
      <c r="C1565" s="1655" t="s">
        <v>4638</v>
      </c>
      <c r="D1565" s="54" t="s">
        <v>2439</v>
      </c>
      <c r="F1565" s="54" t="s">
        <v>4392</v>
      </c>
    </row>
    <row r="1566" spans="1:6" hidden="1">
      <c r="A1566" s="1655" t="s">
        <v>5062</v>
      </c>
      <c r="C1566" s="1655" t="s">
        <v>5063</v>
      </c>
      <c r="D1566" s="54" t="s">
        <v>2439</v>
      </c>
      <c r="F1566" s="54" t="s">
        <v>4392</v>
      </c>
    </row>
    <row r="1567" spans="1:6" hidden="1">
      <c r="A1567" s="1655" t="s">
        <v>5064</v>
      </c>
      <c r="C1567" s="1655" t="s">
        <v>5063</v>
      </c>
      <c r="D1567" s="54" t="s">
        <v>2439</v>
      </c>
      <c r="F1567" s="54" t="s">
        <v>4392</v>
      </c>
    </row>
    <row r="1568" spans="1:6" hidden="1">
      <c r="A1568" s="1655" t="s">
        <v>5065</v>
      </c>
      <c r="C1568" s="1655" t="s">
        <v>5063</v>
      </c>
      <c r="D1568" s="54" t="s">
        <v>2439</v>
      </c>
      <c r="F1568" s="54" t="s">
        <v>4392</v>
      </c>
    </row>
    <row r="1569" spans="1:7" hidden="1">
      <c r="A1569" s="1655" t="s">
        <v>5066</v>
      </c>
      <c r="C1569" s="1655" t="s">
        <v>5063</v>
      </c>
      <c r="D1569" s="54" t="s">
        <v>2439</v>
      </c>
      <c r="F1569" s="54" t="s">
        <v>4392</v>
      </c>
    </row>
    <row r="1570" spans="1:7" hidden="1">
      <c r="A1570" s="1655" t="s">
        <v>5069</v>
      </c>
      <c r="C1570" s="1655" t="s">
        <v>5070</v>
      </c>
      <c r="D1570" s="54" t="s">
        <v>2439</v>
      </c>
      <c r="F1570" s="54">
        <v>50</v>
      </c>
      <c r="G1570" s="54" t="s">
        <v>512</v>
      </c>
    </row>
    <row r="1571" spans="1:7" hidden="1">
      <c r="A1571" s="1655" t="s">
        <v>5072</v>
      </c>
      <c r="C1571" s="1655" t="s">
        <v>5073</v>
      </c>
      <c r="D1571" s="54" t="s">
        <v>2439</v>
      </c>
      <c r="F1571" s="54" t="s">
        <v>4392</v>
      </c>
    </row>
    <row r="1572" spans="1:7" hidden="1">
      <c r="A1572" s="1655" t="s">
        <v>5075</v>
      </c>
      <c r="C1572" s="1655" t="s">
        <v>5076</v>
      </c>
      <c r="D1572" s="54" t="s">
        <v>2575</v>
      </c>
      <c r="F1572" s="54" t="s">
        <v>4392</v>
      </c>
    </row>
    <row r="1573" spans="1:7" hidden="1">
      <c r="A1573" s="1655" t="s">
        <v>5077</v>
      </c>
      <c r="C1573" s="1655" t="s">
        <v>5078</v>
      </c>
      <c r="D1573" s="54" t="s">
        <v>2532</v>
      </c>
      <c r="F1573" s="54" t="s">
        <v>4392</v>
      </c>
    </row>
    <row r="1574" spans="1:7" hidden="1">
      <c r="A1574" s="1655" t="s">
        <v>5079</v>
      </c>
      <c r="C1574" s="1655" t="s">
        <v>5080</v>
      </c>
      <c r="D1574" s="54" t="s">
        <v>2532</v>
      </c>
      <c r="F1574" s="54" t="s">
        <v>4392</v>
      </c>
    </row>
    <row r="1575" spans="1:7" hidden="1">
      <c r="A1575" s="1655" t="s">
        <v>5081</v>
      </c>
      <c r="C1575" s="1655" t="s">
        <v>5082</v>
      </c>
      <c r="D1575" s="54" t="s">
        <v>2532</v>
      </c>
      <c r="F1575" s="54" t="s">
        <v>4392</v>
      </c>
    </row>
    <row r="1576" spans="1:7" hidden="1">
      <c r="A1576" s="1655" t="s">
        <v>5084</v>
      </c>
      <c r="C1576" s="1655" t="s">
        <v>2710</v>
      </c>
      <c r="D1576" s="54" t="s">
        <v>2532</v>
      </c>
      <c r="F1576" s="54" t="s">
        <v>4392</v>
      </c>
    </row>
    <row r="1577" spans="1:7" hidden="1">
      <c r="A1577" s="1655" t="s">
        <v>5085</v>
      </c>
      <c r="C1577" s="1655" t="s">
        <v>5030</v>
      </c>
      <c r="D1577" s="54" t="s">
        <v>2532</v>
      </c>
      <c r="F1577" s="54" t="s">
        <v>4392</v>
      </c>
    </row>
    <row r="1578" spans="1:7" hidden="1">
      <c r="A1578" s="1655" t="s">
        <v>5086</v>
      </c>
      <c r="C1578" s="1655" t="s">
        <v>5087</v>
      </c>
      <c r="D1578" s="54" t="s">
        <v>2532</v>
      </c>
      <c r="F1578" s="54" t="s">
        <v>4392</v>
      </c>
    </row>
    <row r="1579" spans="1:7" hidden="1">
      <c r="A1579" s="1655" t="s">
        <v>6524</v>
      </c>
      <c r="C1579" s="1655" t="s">
        <v>5089</v>
      </c>
      <c r="D1579" s="54" t="s">
        <v>2532</v>
      </c>
      <c r="F1579" s="54">
        <v>11</v>
      </c>
      <c r="G1579" s="54" t="s">
        <v>512</v>
      </c>
    </row>
    <row r="1580" spans="1:7" hidden="1">
      <c r="A1580" s="2979" t="s">
        <v>6525</v>
      </c>
      <c r="C1580" s="1655" t="s">
        <v>6527</v>
      </c>
      <c r="D1580" s="54" t="s">
        <v>2532</v>
      </c>
      <c r="F1580" s="54">
        <v>11</v>
      </c>
      <c r="G1580" s="54" t="s">
        <v>512</v>
      </c>
    </row>
    <row r="1581" spans="1:7" ht="26.4" hidden="1">
      <c r="A1581" s="2979" t="s">
        <v>6526</v>
      </c>
      <c r="C1581" s="1655" t="s">
        <v>6425</v>
      </c>
      <c r="D1581" s="54" t="s">
        <v>2532</v>
      </c>
      <c r="F1581" s="54">
        <v>11</v>
      </c>
      <c r="G1581" s="54" t="s">
        <v>512</v>
      </c>
    </row>
    <row r="1582" spans="1:7" hidden="1">
      <c r="A1582" s="1655" t="s">
        <v>5090</v>
      </c>
      <c r="C1582" s="1655" t="s">
        <v>5091</v>
      </c>
      <c r="D1582" s="54" t="s">
        <v>2532</v>
      </c>
      <c r="F1582" s="54" t="s">
        <v>4392</v>
      </c>
    </row>
    <row r="1583" spans="1:7" hidden="1">
      <c r="A1583" s="1655" t="s">
        <v>5092</v>
      </c>
      <c r="C1583" s="1655" t="s">
        <v>5093</v>
      </c>
      <c r="D1583" s="54" t="s">
        <v>2532</v>
      </c>
      <c r="F1583" s="54" t="s">
        <v>4392</v>
      </c>
    </row>
    <row r="1584" spans="1:7" hidden="1">
      <c r="A1584" s="1655" t="s">
        <v>5094</v>
      </c>
      <c r="C1584" s="1655" t="s">
        <v>5095</v>
      </c>
      <c r="D1584" s="54" t="s">
        <v>2532</v>
      </c>
      <c r="F1584" s="54" t="s">
        <v>4392</v>
      </c>
    </row>
    <row r="1585" spans="1:6" hidden="1">
      <c r="A1585" s="1655" t="s">
        <v>5096</v>
      </c>
      <c r="C1585" s="1655" t="s">
        <v>5097</v>
      </c>
      <c r="D1585" s="54" t="s">
        <v>2532</v>
      </c>
      <c r="F1585" s="54" t="s">
        <v>4392</v>
      </c>
    </row>
    <row r="1586" spans="1:6" hidden="1">
      <c r="A1586" s="1655" t="s">
        <v>5098</v>
      </c>
      <c r="C1586" s="1655" t="s">
        <v>5099</v>
      </c>
      <c r="D1586" s="54" t="s">
        <v>2532</v>
      </c>
      <c r="F1586" s="54" t="s">
        <v>4392</v>
      </c>
    </row>
    <row r="1587" spans="1:6" hidden="1">
      <c r="A1587" s="1655" t="s">
        <v>5100</v>
      </c>
      <c r="C1587" s="1655" t="s">
        <v>5101</v>
      </c>
      <c r="D1587" s="54" t="s">
        <v>2532</v>
      </c>
      <c r="F1587" s="54" t="s">
        <v>4392</v>
      </c>
    </row>
    <row r="1588" spans="1:6" hidden="1">
      <c r="A1588" s="1655" t="s">
        <v>5102</v>
      </c>
      <c r="C1588" s="1655" t="s">
        <v>5103</v>
      </c>
      <c r="D1588" s="54" t="s">
        <v>2532</v>
      </c>
      <c r="F1588" s="54" t="s">
        <v>4392</v>
      </c>
    </row>
    <row r="1589" spans="1:6" hidden="1">
      <c r="A1589" s="1655" t="s">
        <v>5104</v>
      </c>
      <c r="C1589" s="1655" t="s">
        <v>5105</v>
      </c>
      <c r="D1589" s="54" t="s">
        <v>2532</v>
      </c>
      <c r="F1589" s="54" t="s">
        <v>4392</v>
      </c>
    </row>
    <row r="1590" spans="1:6" hidden="1">
      <c r="A1590" s="1655" t="s">
        <v>5106</v>
      </c>
      <c r="C1590" s="1655" t="s">
        <v>5107</v>
      </c>
      <c r="D1590" s="54" t="s">
        <v>2532</v>
      </c>
      <c r="F1590" s="54" t="s">
        <v>4392</v>
      </c>
    </row>
    <row r="1591" spans="1:6" hidden="1">
      <c r="A1591" s="1655" t="s">
        <v>5108</v>
      </c>
      <c r="C1591" s="1655" t="s">
        <v>5109</v>
      </c>
      <c r="D1591" s="54" t="s">
        <v>2532</v>
      </c>
      <c r="F1591" s="54" t="s">
        <v>4392</v>
      </c>
    </row>
    <row r="1592" spans="1:6" hidden="1">
      <c r="A1592" s="1655" t="s">
        <v>5110</v>
      </c>
      <c r="C1592" s="1655" t="s">
        <v>5111</v>
      </c>
      <c r="D1592" s="54" t="s">
        <v>2532</v>
      </c>
      <c r="F1592" s="54" t="s">
        <v>4392</v>
      </c>
    </row>
    <row r="1593" spans="1:6" hidden="1">
      <c r="A1593" s="1655" t="s">
        <v>5112</v>
      </c>
      <c r="C1593" s="1655" t="s">
        <v>5113</v>
      </c>
      <c r="D1593" s="54" t="s">
        <v>2532</v>
      </c>
      <c r="F1593" s="54" t="s">
        <v>4392</v>
      </c>
    </row>
    <row r="1594" spans="1:6" hidden="1">
      <c r="A1594" s="1655" t="s">
        <v>5114</v>
      </c>
      <c r="C1594" s="1655" t="s">
        <v>5115</v>
      </c>
      <c r="D1594" s="54" t="s">
        <v>2532</v>
      </c>
      <c r="F1594" s="54" t="s">
        <v>4392</v>
      </c>
    </row>
    <row r="1595" spans="1:6" hidden="1">
      <c r="A1595" s="1655" t="s">
        <v>5116</v>
      </c>
      <c r="C1595" s="1655" t="s">
        <v>5117</v>
      </c>
      <c r="D1595" s="54" t="s">
        <v>2532</v>
      </c>
      <c r="F1595" s="54" t="s">
        <v>4392</v>
      </c>
    </row>
    <row r="1596" spans="1:6" hidden="1">
      <c r="A1596" s="1655" t="s">
        <v>5118</v>
      </c>
      <c r="C1596" s="1655" t="s">
        <v>5119</v>
      </c>
      <c r="D1596" s="54" t="s">
        <v>2532</v>
      </c>
      <c r="F1596" s="54" t="s">
        <v>4392</v>
      </c>
    </row>
    <row r="1597" spans="1:6" hidden="1">
      <c r="A1597" s="1655" t="s">
        <v>5120</v>
      </c>
      <c r="C1597" s="1655" t="s">
        <v>5121</v>
      </c>
      <c r="D1597" s="54" t="s">
        <v>2532</v>
      </c>
      <c r="F1597" s="54" t="s">
        <v>4392</v>
      </c>
    </row>
    <row r="1598" spans="1:6" hidden="1">
      <c r="A1598" s="1655" t="s">
        <v>5122</v>
      </c>
      <c r="C1598" s="1655" t="s">
        <v>5123</v>
      </c>
      <c r="D1598" s="54" t="s">
        <v>2532</v>
      </c>
      <c r="F1598" s="54" t="s">
        <v>4392</v>
      </c>
    </row>
    <row r="1599" spans="1:6" hidden="1">
      <c r="A1599" s="1655" t="s">
        <v>5124</v>
      </c>
      <c r="C1599" s="1655" t="s">
        <v>5125</v>
      </c>
      <c r="D1599" s="54" t="s">
        <v>2532</v>
      </c>
      <c r="F1599" s="54" t="s">
        <v>4392</v>
      </c>
    </row>
    <row r="1600" spans="1:6" hidden="1">
      <c r="A1600" s="1655" t="s">
        <v>5126</v>
      </c>
      <c r="C1600" s="1655" t="s">
        <v>5127</v>
      </c>
      <c r="D1600" s="54" t="s">
        <v>2532</v>
      </c>
      <c r="F1600" s="54" t="s">
        <v>4392</v>
      </c>
    </row>
    <row r="1601" spans="1:10" hidden="1">
      <c r="A1601" s="1655" t="s">
        <v>5128</v>
      </c>
      <c r="C1601" s="1655" t="s">
        <v>5129</v>
      </c>
      <c r="D1601" s="54" t="s">
        <v>2532</v>
      </c>
      <c r="F1601" s="54" t="s">
        <v>4392</v>
      </c>
    </row>
    <row r="1602" spans="1:10" hidden="1">
      <c r="A1602" s="1655" t="s">
        <v>5130</v>
      </c>
      <c r="C1602" s="1655" t="s">
        <v>5131</v>
      </c>
      <c r="D1602" s="54" t="s">
        <v>2532</v>
      </c>
      <c r="F1602" s="54" t="s">
        <v>4392</v>
      </c>
    </row>
    <row r="1603" spans="1:10" hidden="1">
      <c r="A1603" s="1655" t="s">
        <v>5132</v>
      </c>
      <c r="C1603" s="1655" t="s">
        <v>5133</v>
      </c>
      <c r="D1603" s="54" t="s">
        <v>2532</v>
      </c>
      <c r="F1603" s="54" t="s">
        <v>4392</v>
      </c>
    </row>
    <row r="1604" spans="1:10" hidden="1">
      <c r="A1604" s="1655" t="s">
        <v>5134</v>
      </c>
      <c r="C1604" s="1655" t="s">
        <v>5135</v>
      </c>
      <c r="D1604" s="54" t="s">
        <v>2532</v>
      </c>
      <c r="F1604" s="54" t="s">
        <v>4392</v>
      </c>
    </row>
    <row r="1605" spans="1:10" hidden="1">
      <c r="A1605" s="1655" t="s">
        <v>5136</v>
      </c>
      <c r="C1605" s="1655" t="s">
        <v>5137</v>
      </c>
      <c r="D1605" s="54" t="s">
        <v>2532</v>
      </c>
      <c r="F1605" s="54" t="s">
        <v>4392</v>
      </c>
    </row>
    <row r="1606" spans="1:10" hidden="1">
      <c r="A1606" s="1655" t="s">
        <v>5138</v>
      </c>
      <c r="C1606" s="1655" t="s">
        <v>5139</v>
      </c>
      <c r="D1606" s="54" t="s">
        <v>2532</v>
      </c>
      <c r="F1606" s="54" t="s">
        <v>4392</v>
      </c>
    </row>
    <row r="1607" spans="1:10" hidden="1">
      <c r="A1607" s="1655" t="str">
        <f t="shared" ref="A1607:A1610" si="69">"ssf-"&amp;H1607</f>
        <v>ssf-120</v>
      </c>
      <c r="C1607" s="1655" t="str">
        <f t="shared" ref="C1607:C1610" si="70">"Dây buộc cổ sứ cỡ dây "&amp;H1607&amp;"mm2"</f>
        <v>Dây buộc cổ sứ cỡ dây 120mm2</v>
      </c>
      <c r="D1607" s="54" t="s">
        <v>2555</v>
      </c>
      <c r="F1607" s="54">
        <v>50</v>
      </c>
      <c r="H1607" s="54">
        <v>120</v>
      </c>
      <c r="J1607" s="54" t="str">
        <f t="shared" ref="J1607:J1614" si="71">A1607</f>
        <v>ssf-120</v>
      </c>
    </row>
    <row r="1608" spans="1:10" hidden="1">
      <c r="A1608" s="1655" t="str">
        <f t="shared" si="69"/>
        <v>ssf-150</v>
      </c>
      <c r="C1608" s="1655" t="str">
        <f t="shared" si="70"/>
        <v>Dây buộc cổ sứ cỡ dây 150mm2</v>
      </c>
      <c r="D1608" s="54" t="s">
        <v>2555</v>
      </c>
      <c r="F1608" s="54">
        <v>50</v>
      </c>
      <c r="H1608" s="54">
        <v>150</v>
      </c>
      <c r="J1608" s="54" t="str">
        <f t="shared" si="71"/>
        <v>ssf-150</v>
      </c>
    </row>
    <row r="1609" spans="1:10" hidden="1">
      <c r="A1609" s="1655" t="str">
        <f t="shared" si="69"/>
        <v>ssf-185</v>
      </c>
      <c r="C1609" s="1655" t="str">
        <f t="shared" si="70"/>
        <v>Dây buộc cổ sứ cỡ dây 185mm2</v>
      </c>
      <c r="D1609" s="54" t="s">
        <v>2555</v>
      </c>
      <c r="F1609" s="54" t="s">
        <v>4392</v>
      </c>
      <c r="H1609" s="54">
        <v>185</v>
      </c>
      <c r="J1609" s="54" t="str">
        <f t="shared" si="71"/>
        <v>ssf-185</v>
      </c>
    </row>
    <row r="1610" spans="1:10" hidden="1">
      <c r="A1610" s="1655" t="str">
        <f t="shared" si="69"/>
        <v>ssf-240</v>
      </c>
      <c r="C1610" s="1655" t="str">
        <f t="shared" si="70"/>
        <v>Dây buộc cổ sứ cỡ dây 240mm2</v>
      </c>
      <c r="D1610" s="54" t="s">
        <v>2555</v>
      </c>
      <c r="F1610" s="54" t="s">
        <v>4392</v>
      </c>
      <c r="H1610" s="54">
        <v>240</v>
      </c>
      <c r="J1610" s="54" t="str">
        <f t="shared" si="71"/>
        <v>ssf-240</v>
      </c>
    </row>
    <row r="1611" spans="1:10" hidden="1">
      <c r="A1611" s="1655" t="str">
        <f t="shared" ref="A1611:A1613" si="72">"ttf-"&amp;H1611</f>
        <v>ttf-120</v>
      </c>
      <c r="C1611" s="1655" t="str">
        <f t="shared" ref="C1611:C1613" si="73">"Dây buộc đầu sứ cỡ dây "&amp;H1611&amp;"mm2"</f>
        <v>Dây buộc đầu sứ cỡ dây 120mm2</v>
      </c>
      <c r="D1611" s="54" t="s">
        <v>2555</v>
      </c>
      <c r="F1611" s="54">
        <v>50</v>
      </c>
      <c r="H1611" s="54">
        <v>120</v>
      </c>
      <c r="J1611" s="54" t="str">
        <f t="shared" ref="J1611:J1612" si="74">A1611</f>
        <v>ttf-120</v>
      </c>
    </row>
    <row r="1612" spans="1:10" hidden="1">
      <c r="A1612" s="1655" t="str">
        <f t="shared" si="72"/>
        <v>ttf-150</v>
      </c>
      <c r="C1612" s="1655" t="str">
        <f t="shared" si="73"/>
        <v>Dây buộc đầu sứ cỡ dây 150mm2</v>
      </c>
      <c r="D1612" s="54" t="s">
        <v>2555</v>
      </c>
      <c r="F1612" s="54">
        <v>50</v>
      </c>
      <c r="H1612" s="54">
        <v>150</v>
      </c>
      <c r="J1612" s="54" t="str">
        <f t="shared" si="74"/>
        <v>ttf-150</v>
      </c>
    </row>
    <row r="1613" spans="1:10" hidden="1">
      <c r="A1613" s="1655" t="str">
        <f t="shared" si="72"/>
        <v>ttf-185</v>
      </c>
      <c r="C1613" s="1655" t="str">
        <f t="shared" si="73"/>
        <v>Dây buộc đầu sứ cỡ dây 185mm2</v>
      </c>
      <c r="D1613" s="54" t="s">
        <v>2555</v>
      </c>
      <c r="F1613" s="54">
        <v>50</v>
      </c>
      <c r="H1613" s="54">
        <v>185</v>
      </c>
      <c r="J1613" s="54" t="str">
        <f t="shared" si="71"/>
        <v>ttf-185</v>
      </c>
    </row>
    <row r="1614" spans="1:10" hidden="1">
      <c r="A1614" s="1655" t="str">
        <f>"ssf"&amp;H1614</f>
        <v>ssf</v>
      </c>
      <c r="C1614" s="1655" t="str">
        <f>"Dây buộc cổ sứ"</f>
        <v>Dây buộc cổ sứ</v>
      </c>
      <c r="D1614" s="54" t="s">
        <v>2555</v>
      </c>
      <c r="F1614" s="54" t="s">
        <v>4392</v>
      </c>
      <c r="J1614" s="54" t="str">
        <f t="shared" si="71"/>
        <v>ssf</v>
      </c>
    </row>
    <row r="1615" spans="1:10" hidden="1">
      <c r="A1615" s="1655" t="s">
        <v>5143</v>
      </c>
      <c r="B1615" s="1649" t="s">
        <v>5144</v>
      </c>
      <c r="C1615" s="1655" t="s">
        <v>5145</v>
      </c>
      <c r="D1615" s="54" t="s">
        <v>2439</v>
      </c>
      <c r="F1615" s="54" t="s">
        <v>4392</v>
      </c>
    </row>
    <row r="1616" spans="1:10" hidden="1">
      <c r="A1616" s="1655" t="s">
        <v>5146</v>
      </c>
      <c r="C1616" s="1655" t="s">
        <v>2830</v>
      </c>
      <c r="D1616" s="54" t="s">
        <v>2831</v>
      </c>
      <c r="F1616" s="54" t="s">
        <v>4392</v>
      </c>
    </row>
    <row r="1617" spans="1:6" hidden="1">
      <c r="A1617" s="1655" t="s">
        <v>5147</v>
      </c>
      <c r="C1617" s="1655" t="s">
        <v>5148</v>
      </c>
      <c r="D1617" s="54" t="s">
        <v>2590</v>
      </c>
      <c r="F1617" s="54" t="s">
        <v>4392</v>
      </c>
    </row>
    <row r="1618" spans="1:6" hidden="1">
      <c r="A1618" s="1655" t="s">
        <v>5149</v>
      </c>
      <c r="C1618" s="1655" t="s">
        <v>5150</v>
      </c>
      <c r="D1618" s="54" t="s">
        <v>2590</v>
      </c>
      <c r="F1618" s="54" t="s">
        <v>4392</v>
      </c>
    </row>
    <row r="1619" spans="1:6" hidden="1">
      <c r="A1619" s="1655" t="s">
        <v>5151</v>
      </c>
      <c r="C1619" s="1655" t="s">
        <v>5152</v>
      </c>
      <c r="D1619" s="54" t="s">
        <v>2590</v>
      </c>
      <c r="F1619" s="54" t="s">
        <v>4392</v>
      </c>
    </row>
    <row r="1620" spans="1:6" hidden="1">
      <c r="A1620" s="1655" t="s">
        <v>5153</v>
      </c>
      <c r="C1620" s="1655" t="s">
        <v>4862</v>
      </c>
      <c r="D1620" s="54" t="s">
        <v>2590</v>
      </c>
      <c r="F1620" s="54" t="s">
        <v>4392</v>
      </c>
    </row>
    <row r="1621" spans="1:6" hidden="1">
      <c r="A1621" s="1655" t="s">
        <v>5154</v>
      </c>
      <c r="C1621" s="1655" t="s">
        <v>5155</v>
      </c>
      <c r="D1621" s="54" t="s">
        <v>5156</v>
      </c>
      <c r="F1621" s="54" t="s">
        <v>4392</v>
      </c>
    </row>
    <row r="1622" spans="1:6" hidden="1">
      <c r="A1622" s="1655" t="s">
        <v>5157</v>
      </c>
      <c r="C1622" s="1655" t="s">
        <v>5158</v>
      </c>
      <c r="D1622" s="54" t="s">
        <v>5156</v>
      </c>
      <c r="F1622" s="54" t="s">
        <v>4392</v>
      </c>
    </row>
    <row r="1623" spans="1:6" hidden="1">
      <c r="A1623" s="1655" t="s">
        <v>5160</v>
      </c>
      <c r="C1623" s="1655" t="s">
        <v>5161</v>
      </c>
      <c r="D1623" s="54" t="s">
        <v>2248</v>
      </c>
      <c r="F1623" s="54">
        <v>50</v>
      </c>
    </row>
    <row r="1624" spans="1:6" hidden="1">
      <c r="A1624" s="1655" t="s">
        <v>5162</v>
      </c>
      <c r="C1624" s="1655" t="s">
        <v>5163</v>
      </c>
      <c r="D1624" s="54" t="s">
        <v>2248</v>
      </c>
      <c r="F1624" s="54">
        <v>50</v>
      </c>
    </row>
    <row r="1625" spans="1:6" hidden="1">
      <c r="A1625" s="1655" t="s">
        <v>5164</v>
      </c>
      <c r="B1625" s="1649" t="s">
        <v>5165</v>
      </c>
      <c r="C1625" s="1655" t="s">
        <v>5166</v>
      </c>
      <c r="D1625" s="54" t="s">
        <v>5167</v>
      </c>
      <c r="F1625" s="54" t="s">
        <v>4392</v>
      </c>
    </row>
    <row r="1626" spans="1:6" hidden="1">
      <c r="A1626" s="1655" t="s">
        <v>5168</v>
      </c>
      <c r="C1626" s="1655" t="s">
        <v>5169</v>
      </c>
      <c r="D1626" s="54" t="s">
        <v>5170</v>
      </c>
      <c r="F1626" s="54" t="s">
        <v>4392</v>
      </c>
    </row>
    <row r="1627" spans="1:6" hidden="1">
      <c r="A1627" s="1655" t="s">
        <v>5171</v>
      </c>
      <c r="C1627" s="1655" t="s">
        <v>5172</v>
      </c>
      <c r="D1627" s="54" t="s">
        <v>5170</v>
      </c>
      <c r="F1627" s="54" t="s">
        <v>4392</v>
      </c>
    </row>
    <row r="1628" spans="1:6" hidden="1">
      <c r="A1628" s="1655" t="s">
        <v>5173</v>
      </c>
      <c r="C1628" s="1655" t="s">
        <v>5174</v>
      </c>
      <c r="D1628" s="54" t="s">
        <v>5170</v>
      </c>
      <c r="F1628" s="54" t="s">
        <v>4392</v>
      </c>
    </row>
    <row r="1629" spans="1:6" hidden="1">
      <c r="A1629" s="1655" t="s">
        <v>5175</v>
      </c>
      <c r="C1629" s="1655" t="s">
        <v>5176</v>
      </c>
      <c r="D1629" s="54" t="s">
        <v>5170</v>
      </c>
      <c r="F1629" s="54" t="s">
        <v>4392</v>
      </c>
    </row>
    <row r="1630" spans="1:6" hidden="1">
      <c r="A1630" s="1655" t="s">
        <v>5177</v>
      </c>
      <c r="C1630" s="1655" t="s">
        <v>5178</v>
      </c>
      <c r="D1630" s="54" t="s">
        <v>2532</v>
      </c>
      <c r="F1630" s="54" t="s">
        <v>4392</v>
      </c>
    </row>
    <row r="1631" spans="1:6" hidden="1">
      <c r="A1631" s="1655" t="s">
        <v>5179</v>
      </c>
      <c r="C1631" s="1655" t="s">
        <v>5180</v>
      </c>
      <c r="D1631" s="54" t="s">
        <v>2555</v>
      </c>
      <c r="F1631" s="54" t="s">
        <v>4392</v>
      </c>
    </row>
    <row r="1632" spans="1:6" hidden="1">
      <c r="A1632" s="1655" t="s">
        <v>5181</v>
      </c>
      <c r="C1632" s="1655" t="s">
        <v>2835</v>
      </c>
      <c r="D1632" s="54" t="s">
        <v>2555</v>
      </c>
      <c r="F1632" s="54" t="s">
        <v>4392</v>
      </c>
    </row>
    <row r="1633" spans="1:6" hidden="1">
      <c r="A1633" s="1655" t="s">
        <v>5182</v>
      </c>
      <c r="C1633" s="1655" t="s">
        <v>2836</v>
      </c>
      <c r="D1633" s="54" t="s">
        <v>2555</v>
      </c>
      <c r="F1633" s="54" t="s">
        <v>4392</v>
      </c>
    </row>
    <row r="1634" spans="1:6" hidden="1">
      <c r="A1634" s="1655" t="s">
        <v>5183</v>
      </c>
      <c r="C1634" s="1655" t="s">
        <v>2837</v>
      </c>
      <c r="D1634" s="54" t="s">
        <v>2555</v>
      </c>
      <c r="F1634" s="54" t="s">
        <v>4392</v>
      </c>
    </row>
    <row r="1635" spans="1:6" hidden="1">
      <c r="A1635" s="1655" t="s">
        <v>5184</v>
      </c>
      <c r="C1635" s="1655" t="s">
        <v>2838</v>
      </c>
      <c r="D1635" s="54" t="s">
        <v>2555</v>
      </c>
      <c r="F1635" s="54" t="s">
        <v>4392</v>
      </c>
    </row>
    <row r="1636" spans="1:6" hidden="1">
      <c r="A1636" s="1655" t="s">
        <v>5185</v>
      </c>
      <c r="C1636" s="1655" t="s">
        <v>2839</v>
      </c>
      <c r="D1636" s="54" t="s">
        <v>2555</v>
      </c>
      <c r="F1636" s="54" t="s">
        <v>4392</v>
      </c>
    </row>
    <row r="1637" spans="1:6" hidden="1">
      <c r="A1637" s="1655" t="s">
        <v>5186</v>
      </c>
      <c r="C1637" s="1655" t="s">
        <v>2840</v>
      </c>
      <c r="D1637" s="54" t="s">
        <v>2555</v>
      </c>
      <c r="F1637" s="54" t="s">
        <v>4392</v>
      </c>
    </row>
    <row r="1638" spans="1:6" hidden="1">
      <c r="A1638" s="1655" t="s">
        <v>5187</v>
      </c>
      <c r="C1638" s="1655" t="s">
        <v>4871</v>
      </c>
      <c r="D1638" s="54" t="s">
        <v>2555</v>
      </c>
      <c r="F1638" s="54" t="s">
        <v>4392</v>
      </c>
    </row>
    <row r="1639" spans="1:6" hidden="1">
      <c r="A1639" s="1655" t="s">
        <v>5188</v>
      </c>
      <c r="C1639" s="1655" t="s">
        <v>2841</v>
      </c>
      <c r="D1639" s="54" t="s">
        <v>2555</v>
      </c>
      <c r="F1639" s="54" t="s">
        <v>4392</v>
      </c>
    </row>
    <row r="1640" spans="1:6" hidden="1">
      <c r="A1640" s="1655" t="s">
        <v>5189</v>
      </c>
      <c r="C1640" s="1655" t="s">
        <v>2842</v>
      </c>
      <c r="D1640" s="54" t="s">
        <v>2555</v>
      </c>
      <c r="F1640" s="54" t="s">
        <v>4392</v>
      </c>
    </row>
    <row r="1641" spans="1:6" hidden="1">
      <c r="A1641" s="1655" t="s">
        <v>5190</v>
      </c>
      <c r="C1641" s="1655" t="s">
        <v>2846</v>
      </c>
      <c r="D1641" s="54" t="s">
        <v>2555</v>
      </c>
      <c r="F1641" s="54" t="s">
        <v>4392</v>
      </c>
    </row>
    <row r="1642" spans="1:6" hidden="1">
      <c r="A1642" s="1655" t="s">
        <v>5191</v>
      </c>
      <c r="C1642" s="1655" t="s">
        <v>2847</v>
      </c>
      <c r="D1642" s="54" t="s">
        <v>2555</v>
      </c>
      <c r="F1642" s="54" t="s">
        <v>4392</v>
      </c>
    </row>
    <row r="1643" spans="1:6" hidden="1">
      <c r="A1643" s="1655" t="s">
        <v>5192</v>
      </c>
      <c r="C1643" s="1655" t="s">
        <v>2848</v>
      </c>
      <c r="D1643" s="54" t="s">
        <v>2555</v>
      </c>
      <c r="F1643" s="54" t="s">
        <v>4392</v>
      </c>
    </row>
    <row r="1644" spans="1:6" hidden="1">
      <c r="A1644" s="1655" t="s">
        <v>5193</v>
      </c>
      <c r="C1644" s="1655" t="s">
        <v>2849</v>
      </c>
      <c r="D1644" s="54" t="s">
        <v>2555</v>
      </c>
      <c r="F1644" s="54" t="s">
        <v>4392</v>
      </c>
    </row>
    <row r="1645" spans="1:6" hidden="1">
      <c r="A1645" s="1655" t="s">
        <v>5194</v>
      </c>
      <c r="C1645" s="1655" t="s">
        <v>2850</v>
      </c>
      <c r="D1645" s="54" t="s">
        <v>2555</v>
      </c>
      <c r="F1645" s="54" t="s">
        <v>4392</v>
      </c>
    </row>
    <row r="1646" spans="1:6" hidden="1">
      <c r="A1646" s="1655" t="s">
        <v>5195</v>
      </c>
      <c r="C1646" s="1655" t="s">
        <v>2851</v>
      </c>
      <c r="D1646" s="54" t="s">
        <v>2555</v>
      </c>
      <c r="F1646" s="54" t="s">
        <v>4392</v>
      </c>
    </row>
    <row r="1647" spans="1:6" hidden="1">
      <c r="A1647" s="1655" t="s">
        <v>5196</v>
      </c>
      <c r="C1647" s="1655" t="s">
        <v>4758</v>
      </c>
      <c r="D1647" s="54" t="s">
        <v>2555</v>
      </c>
      <c r="F1647" s="54" t="s">
        <v>4392</v>
      </c>
    </row>
    <row r="1648" spans="1:6" hidden="1">
      <c r="A1648" s="1655" t="s">
        <v>5197</v>
      </c>
      <c r="C1648" s="1655" t="s">
        <v>2852</v>
      </c>
      <c r="D1648" s="54" t="s">
        <v>2555</v>
      </c>
      <c r="F1648" s="54" t="s">
        <v>4392</v>
      </c>
    </row>
    <row r="1649" spans="1:7" hidden="1">
      <c r="A1649" s="1655" t="s">
        <v>5198</v>
      </c>
      <c r="C1649" s="1655" t="s">
        <v>2853</v>
      </c>
      <c r="D1649" s="54" t="s">
        <v>2555</v>
      </c>
      <c r="F1649" s="54" t="s">
        <v>4392</v>
      </c>
    </row>
    <row r="1650" spans="1:7" hidden="1">
      <c r="A1650" s="1655" t="s">
        <v>5199</v>
      </c>
      <c r="B1650" s="1649" t="s">
        <v>5200</v>
      </c>
      <c r="C1650" s="1655" t="s">
        <v>5201</v>
      </c>
      <c r="D1650" s="54" t="s">
        <v>2555</v>
      </c>
      <c r="F1650" s="54" t="s">
        <v>4392</v>
      </c>
    </row>
    <row r="1651" spans="1:7" hidden="1">
      <c r="A1651" s="1655" t="s">
        <v>5202</v>
      </c>
      <c r="B1651" s="1649" t="s">
        <v>5200</v>
      </c>
      <c r="C1651" s="1655" t="s">
        <v>5203</v>
      </c>
      <c r="D1651" s="54" t="s">
        <v>2555</v>
      </c>
      <c r="F1651" s="54" t="s">
        <v>4392</v>
      </c>
    </row>
    <row r="1652" spans="1:7" hidden="1">
      <c r="A1652" s="1655" t="s">
        <v>5204</v>
      </c>
      <c r="C1652" s="1655" t="s">
        <v>2866</v>
      </c>
      <c r="D1652" s="54" t="s">
        <v>2555</v>
      </c>
      <c r="F1652" s="54" t="s">
        <v>4392</v>
      </c>
    </row>
    <row r="1653" spans="1:7" hidden="1">
      <c r="A1653" s="1655" t="s">
        <v>5205</v>
      </c>
      <c r="C1653" s="1655" t="s">
        <v>2867</v>
      </c>
      <c r="D1653" s="54" t="s">
        <v>2555</v>
      </c>
      <c r="F1653" s="54" t="s">
        <v>4392</v>
      </c>
    </row>
    <row r="1654" spans="1:7" hidden="1">
      <c r="A1654" s="1655" t="s">
        <v>5206</v>
      </c>
      <c r="C1654" s="1655" t="s">
        <v>2868</v>
      </c>
      <c r="D1654" s="54" t="s">
        <v>2555</v>
      </c>
      <c r="F1654" s="54" t="s">
        <v>4392</v>
      </c>
    </row>
    <row r="1655" spans="1:7" hidden="1">
      <c r="A1655" s="1655" t="s">
        <v>5207</v>
      </c>
      <c r="C1655" s="1655" t="s">
        <v>2869</v>
      </c>
      <c r="D1655" s="54" t="s">
        <v>2555</v>
      </c>
      <c r="F1655" s="54" t="s">
        <v>4392</v>
      </c>
    </row>
    <row r="1656" spans="1:7" hidden="1">
      <c r="A1656" s="1655" t="s">
        <v>5208</v>
      </c>
      <c r="C1656" s="1655" t="s">
        <v>2870</v>
      </c>
      <c r="D1656" s="54" t="s">
        <v>2555</v>
      </c>
      <c r="F1656" s="54" t="s">
        <v>4392</v>
      </c>
    </row>
    <row r="1657" spans="1:7" hidden="1">
      <c r="A1657" s="1655" t="s">
        <v>5209</v>
      </c>
      <c r="C1657" s="1655" t="s">
        <v>5210</v>
      </c>
      <c r="D1657" s="54" t="s">
        <v>2439</v>
      </c>
      <c r="F1657" s="54">
        <v>50</v>
      </c>
      <c r="G1657" s="54" t="s">
        <v>512</v>
      </c>
    </row>
    <row r="1658" spans="1:7" hidden="1">
      <c r="A1658" s="1655" t="s">
        <v>5211</v>
      </c>
      <c r="C1658" s="1655" t="s">
        <v>5212</v>
      </c>
      <c r="D1658" s="54" t="s">
        <v>2555</v>
      </c>
      <c r="F1658" s="54" t="s">
        <v>4392</v>
      </c>
    </row>
    <row r="1659" spans="1:7" hidden="1">
      <c r="A1659" s="1655" t="s">
        <v>5213</v>
      </c>
      <c r="C1659" s="1655" t="s">
        <v>5214</v>
      </c>
      <c r="D1659" s="54" t="s">
        <v>2555</v>
      </c>
      <c r="F1659" s="54">
        <v>50</v>
      </c>
    </row>
    <row r="1660" spans="1:7" hidden="1">
      <c r="A1660" s="1655" t="s">
        <v>5215</v>
      </c>
      <c r="C1660" s="1655" t="s">
        <v>5216</v>
      </c>
      <c r="D1660" s="54" t="s">
        <v>2555</v>
      </c>
      <c r="F1660" s="54" t="s">
        <v>4392</v>
      </c>
    </row>
    <row r="1661" spans="1:7" hidden="1">
      <c r="A1661" s="1655" t="s">
        <v>5217</v>
      </c>
      <c r="C1661" s="1655" t="s">
        <v>5218</v>
      </c>
      <c r="D1661" s="54" t="s">
        <v>2555</v>
      </c>
      <c r="F1661" s="54" t="s">
        <v>4392</v>
      </c>
    </row>
    <row r="1662" spans="1:7" hidden="1">
      <c r="A1662" s="1655" t="s">
        <v>5219</v>
      </c>
      <c r="C1662" s="1655" t="s">
        <v>5220</v>
      </c>
      <c r="D1662" s="54" t="s">
        <v>2555</v>
      </c>
      <c r="F1662" s="54" t="s">
        <v>4392</v>
      </c>
    </row>
    <row r="1663" spans="1:7" hidden="1">
      <c r="A1663" s="1655" t="s">
        <v>5221</v>
      </c>
      <c r="C1663" s="1655" t="s">
        <v>5222</v>
      </c>
      <c r="D1663" s="54" t="s">
        <v>2555</v>
      </c>
      <c r="F1663" s="54" t="s">
        <v>4392</v>
      </c>
    </row>
    <row r="1664" spans="1:7" hidden="1">
      <c r="A1664" s="1655" t="s">
        <v>5224</v>
      </c>
      <c r="C1664" s="1655" t="s">
        <v>5225</v>
      </c>
      <c r="D1664" s="54" t="s">
        <v>5170</v>
      </c>
      <c r="F1664" s="54">
        <v>50</v>
      </c>
    </row>
    <row r="1665" spans="1:6" hidden="1">
      <c r="A1665" s="1655" t="s">
        <v>6095</v>
      </c>
      <c r="C1665" s="1655" t="s">
        <v>6096</v>
      </c>
      <c r="D1665" s="54" t="s">
        <v>2555</v>
      </c>
      <c r="F1665" s="54">
        <v>50</v>
      </c>
    </row>
    <row r="1666" spans="1:6" hidden="1">
      <c r="A1666" s="1655" t="s">
        <v>5226</v>
      </c>
      <c r="C1666" s="1655" t="s">
        <v>5227</v>
      </c>
      <c r="D1666" s="54" t="s">
        <v>5170</v>
      </c>
      <c r="F1666" s="54">
        <v>50</v>
      </c>
    </row>
    <row r="1667" spans="1:6" hidden="1">
      <c r="A1667" s="1655" t="s">
        <v>5228</v>
      </c>
      <c r="C1667" s="1655" t="s">
        <v>5229</v>
      </c>
      <c r="D1667" s="54" t="s">
        <v>5170</v>
      </c>
      <c r="F1667" s="54">
        <v>50</v>
      </c>
    </row>
    <row r="1668" spans="1:6" hidden="1">
      <c r="A1668" s="1655" t="s">
        <v>5230</v>
      </c>
      <c r="C1668" s="1655" t="s">
        <v>5231</v>
      </c>
      <c r="D1668" s="54" t="s">
        <v>5170</v>
      </c>
      <c r="F1668" s="54">
        <v>50</v>
      </c>
    </row>
    <row r="1669" spans="1:6" hidden="1">
      <c r="A1669" s="1655" t="s">
        <v>5232</v>
      </c>
      <c r="C1669" s="1655" t="s">
        <v>5233</v>
      </c>
      <c r="D1669" s="54" t="s">
        <v>5170</v>
      </c>
      <c r="F1669" s="54">
        <v>50</v>
      </c>
    </row>
    <row r="1670" spans="1:6" hidden="1">
      <c r="A1670" s="1655" t="s">
        <v>5234</v>
      </c>
      <c r="C1670" s="1655" t="s">
        <v>5235</v>
      </c>
      <c r="D1670" s="54" t="s">
        <v>5170</v>
      </c>
      <c r="F1670" s="54">
        <v>50</v>
      </c>
    </row>
    <row r="1671" spans="1:6" hidden="1">
      <c r="A1671" s="1655" t="s">
        <v>5236</v>
      </c>
      <c r="C1671" s="1655" t="s">
        <v>5237</v>
      </c>
      <c r="D1671" s="54" t="s">
        <v>5170</v>
      </c>
      <c r="F1671" s="54">
        <v>50</v>
      </c>
    </row>
    <row r="1672" spans="1:6" hidden="1">
      <c r="A1672" s="1655" t="s">
        <v>5238</v>
      </c>
      <c r="C1672" s="1655" t="s">
        <v>5239</v>
      </c>
      <c r="D1672" s="54" t="s">
        <v>5170</v>
      </c>
      <c r="F1672" s="54">
        <v>50</v>
      </c>
    </row>
    <row r="1673" spans="1:6">
      <c r="A1673" s="1655" t="s">
        <v>5240</v>
      </c>
      <c r="C1673" s="1655" t="s">
        <v>5241</v>
      </c>
      <c r="D1673" s="54" t="s">
        <v>5170</v>
      </c>
      <c r="F1673" s="54">
        <v>50</v>
      </c>
    </row>
    <row r="1674" spans="1:6" hidden="1">
      <c r="A1674" s="1655" t="s">
        <v>5244</v>
      </c>
      <c r="C1674" s="1655" t="s">
        <v>5245</v>
      </c>
      <c r="D1674" s="54" t="s">
        <v>2439</v>
      </c>
      <c r="F1674" s="54">
        <v>50</v>
      </c>
    </row>
    <row r="1675" spans="1:6" hidden="1">
      <c r="A1675" s="1655" t="s">
        <v>5246</v>
      </c>
      <c r="C1675" s="1655" t="s">
        <v>5247</v>
      </c>
      <c r="D1675" s="54" t="s">
        <v>2439</v>
      </c>
      <c r="F1675" s="54">
        <v>50</v>
      </c>
    </row>
    <row r="1676" spans="1:6" hidden="1">
      <c r="A1676" s="1655" t="s">
        <v>5249</v>
      </c>
      <c r="C1676" s="1655" t="s">
        <v>5250</v>
      </c>
      <c r="D1676" s="54" t="s">
        <v>2439</v>
      </c>
      <c r="F1676" s="54">
        <v>50</v>
      </c>
    </row>
    <row r="1677" spans="1:6" hidden="1">
      <c r="A1677" s="1655" t="s">
        <v>5251</v>
      </c>
      <c r="C1677" s="1655" t="s">
        <v>5252</v>
      </c>
      <c r="D1677" s="54" t="s">
        <v>2439</v>
      </c>
      <c r="F1677" s="54">
        <v>50</v>
      </c>
    </row>
    <row r="1678" spans="1:6" hidden="1">
      <c r="A1678" s="1655" t="s">
        <v>5255</v>
      </c>
      <c r="C1678" s="1655" t="s">
        <v>5256</v>
      </c>
      <c r="D1678" s="54" t="s">
        <v>2439</v>
      </c>
      <c r="F1678" s="54">
        <v>50</v>
      </c>
    </row>
    <row r="1679" spans="1:6" hidden="1">
      <c r="A1679" s="1655" t="s">
        <v>5257</v>
      </c>
      <c r="C1679" s="1655" t="s">
        <v>5258</v>
      </c>
      <c r="D1679" s="54" t="s">
        <v>2439</v>
      </c>
      <c r="F1679" s="54">
        <v>50</v>
      </c>
    </row>
    <row r="1680" spans="1:6" hidden="1">
      <c r="A1680" s="1655" t="s">
        <v>5259</v>
      </c>
      <c r="C1680" s="1655" t="s">
        <v>5260</v>
      </c>
      <c r="D1680" s="54" t="s">
        <v>2439</v>
      </c>
      <c r="F1680" s="54">
        <v>50</v>
      </c>
    </row>
    <row r="1681" spans="1:7" hidden="1">
      <c r="A1681" s="1655" t="s">
        <v>5261</v>
      </c>
      <c r="C1681" s="1655" t="s">
        <v>5262</v>
      </c>
      <c r="D1681" s="54" t="s">
        <v>2439</v>
      </c>
      <c r="F1681" s="54">
        <v>50</v>
      </c>
    </row>
    <row r="1682" spans="1:7" hidden="1">
      <c r="A1682" s="1655" t="s">
        <v>5263</v>
      </c>
      <c r="C1682" s="1655" t="s">
        <v>5264</v>
      </c>
      <c r="D1682" s="54" t="s">
        <v>2439</v>
      </c>
      <c r="F1682" s="54">
        <v>50</v>
      </c>
    </row>
    <row r="1683" spans="1:7" hidden="1">
      <c r="A1683" s="1655" t="s">
        <v>5267</v>
      </c>
      <c r="B1683" s="1649" t="s">
        <v>5268</v>
      </c>
      <c r="C1683" s="1655" t="s">
        <v>5269</v>
      </c>
      <c r="D1683" s="54" t="s">
        <v>2439</v>
      </c>
      <c r="F1683" s="54">
        <v>3000</v>
      </c>
    </row>
    <row r="1684" spans="1:7" hidden="1">
      <c r="A1684" s="1655" t="s">
        <v>5270</v>
      </c>
      <c r="C1684" s="1655" t="s">
        <v>5274</v>
      </c>
      <c r="D1684" s="54" t="s">
        <v>2831</v>
      </c>
      <c r="F1684" s="54">
        <v>16</v>
      </c>
      <c r="G1684" s="54" t="s">
        <v>512</v>
      </c>
    </row>
    <row r="1685" spans="1:7" hidden="1">
      <c r="A1685" s="1655" t="s">
        <v>5271</v>
      </c>
      <c r="C1685" s="1655" t="s">
        <v>5272</v>
      </c>
      <c r="D1685" s="54" t="s">
        <v>2831</v>
      </c>
      <c r="F1685" s="54" t="s">
        <v>4392</v>
      </c>
    </row>
    <row r="1686" spans="1:7" hidden="1">
      <c r="A1686" s="1655" t="s">
        <v>5273</v>
      </c>
      <c r="C1686" s="1655" t="s">
        <v>5274</v>
      </c>
      <c r="D1686" s="54" t="s">
        <v>2831</v>
      </c>
      <c r="F1686" s="54" t="s">
        <v>4392</v>
      </c>
    </row>
    <row r="1687" spans="1:7" hidden="1">
      <c r="A1687" s="1655" t="s">
        <v>5275</v>
      </c>
      <c r="C1687" s="1655" t="s">
        <v>5276</v>
      </c>
      <c r="D1687" s="54" t="s">
        <v>2831</v>
      </c>
      <c r="F1687" s="54" t="s">
        <v>4392</v>
      </c>
    </row>
    <row r="1688" spans="1:7" hidden="1">
      <c r="A1688" s="1655" t="s">
        <v>5277</v>
      </c>
      <c r="C1688" s="1655" t="s">
        <v>5278</v>
      </c>
      <c r="D1688" s="54" t="s">
        <v>2831</v>
      </c>
      <c r="F1688" s="54" t="s">
        <v>4392</v>
      </c>
    </row>
    <row r="1689" spans="1:7" hidden="1">
      <c r="A1689" s="1655" t="s">
        <v>5279</v>
      </c>
      <c r="C1689" s="1655" t="s">
        <v>5280</v>
      </c>
      <c r="D1689" s="54" t="s">
        <v>2831</v>
      </c>
      <c r="F1689" s="54" t="s">
        <v>4392</v>
      </c>
    </row>
    <row r="1690" spans="1:7" hidden="1">
      <c r="A1690" s="1655" t="s">
        <v>5281</v>
      </c>
      <c r="C1690" s="1655" t="s">
        <v>5282</v>
      </c>
      <c r="D1690" s="54" t="s">
        <v>2831</v>
      </c>
      <c r="F1690" s="54" t="s">
        <v>4392</v>
      </c>
    </row>
    <row r="1691" spans="1:7" hidden="1">
      <c r="A1691" s="1655" t="s">
        <v>5283</v>
      </c>
      <c r="C1691" s="1655" t="s">
        <v>6463</v>
      </c>
      <c r="D1691" s="54" t="s">
        <v>856</v>
      </c>
      <c r="F1691" s="54">
        <v>1999</v>
      </c>
    </row>
    <row r="1692" spans="1:7" hidden="1">
      <c r="A1692" s="1655" t="s">
        <v>5287</v>
      </c>
      <c r="C1692" s="1655" t="s">
        <v>5288</v>
      </c>
      <c r="D1692" s="54" t="s">
        <v>2555</v>
      </c>
      <c r="F1692" s="54" t="s">
        <v>4392</v>
      </c>
    </row>
    <row r="1693" spans="1:7" hidden="1">
      <c r="A1693" s="1655" t="s">
        <v>5289</v>
      </c>
      <c r="C1693" s="1655" t="s">
        <v>5290</v>
      </c>
      <c r="D1693" s="54" t="s">
        <v>2555</v>
      </c>
      <c r="F1693" s="54">
        <v>50</v>
      </c>
    </row>
    <row r="1694" spans="1:7" hidden="1">
      <c r="A1694" s="1655" t="s">
        <v>5291</v>
      </c>
      <c r="C1694" s="1655" t="s">
        <v>5292</v>
      </c>
      <c r="D1694" s="54" t="s">
        <v>2555</v>
      </c>
      <c r="F1694" s="54">
        <v>50</v>
      </c>
    </row>
    <row r="1695" spans="1:7" hidden="1">
      <c r="A1695" s="1655" t="s">
        <v>5293</v>
      </c>
      <c r="C1695" s="1655" t="s">
        <v>5294</v>
      </c>
      <c r="D1695" s="54" t="s">
        <v>2555</v>
      </c>
      <c r="F1695" s="54">
        <v>50</v>
      </c>
    </row>
    <row r="1696" spans="1:7" hidden="1">
      <c r="A1696" s="1655" t="s">
        <v>5295</v>
      </c>
      <c r="B1696" s="1649" t="s">
        <v>5296</v>
      </c>
      <c r="C1696" s="1655" t="s">
        <v>5297</v>
      </c>
      <c r="D1696" s="54" t="s">
        <v>2532</v>
      </c>
      <c r="F1696" s="54">
        <v>50</v>
      </c>
    </row>
    <row r="1697" spans="1:6" hidden="1">
      <c r="A1697" s="1655" t="s">
        <v>5298</v>
      </c>
      <c r="B1697" s="1649" t="s">
        <v>5299</v>
      </c>
      <c r="C1697" s="1655" t="s">
        <v>5300</v>
      </c>
      <c r="D1697" s="54" t="s">
        <v>2532</v>
      </c>
      <c r="F1697" s="54">
        <v>50</v>
      </c>
    </row>
    <row r="1698" spans="1:6" hidden="1">
      <c r="A1698" s="1655" t="s">
        <v>5303</v>
      </c>
      <c r="B1698" s="1649" t="s">
        <v>5301</v>
      </c>
      <c r="C1698" s="1655" t="s">
        <v>5304</v>
      </c>
      <c r="D1698" s="54" t="s">
        <v>2532</v>
      </c>
      <c r="F1698" s="54">
        <v>50</v>
      </c>
    </row>
    <row r="1699" spans="1:6" hidden="1">
      <c r="A1699" s="1655" t="s">
        <v>5305</v>
      </c>
      <c r="C1699" s="1655" t="s">
        <v>5306</v>
      </c>
      <c r="D1699" s="54" t="s">
        <v>2532</v>
      </c>
      <c r="F1699" s="54">
        <v>50</v>
      </c>
    </row>
    <row r="1700" spans="1:6" hidden="1">
      <c r="A1700" s="1655" t="s">
        <v>5307</v>
      </c>
      <c r="F1700" s="54" t="s">
        <v>4392</v>
      </c>
    </row>
    <row r="1701" spans="1:6" hidden="1">
      <c r="A1701" s="1655" t="s">
        <v>5308</v>
      </c>
      <c r="B1701" s="1649" t="s">
        <v>5309</v>
      </c>
      <c r="C1701" s="1655" t="s">
        <v>5310</v>
      </c>
      <c r="D1701" s="54" t="s">
        <v>856</v>
      </c>
      <c r="F1701" s="54" t="s">
        <v>4392</v>
      </c>
    </row>
    <row r="1702" spans="1:6" hidden="1">
      <c r="A1702" s="1655" t="s">
        <v>5311</v>
      </c>
      <c r="B1702" s="1649" t="s">
        <v>5312</v>
      </c>
      <c r="C1702" s="1655" t="s">
        <v>5313</v>
      </c>
      <c r="D1702" s="54" t="s">
        <v>856</v>
      </c>
      <c r="F1702" s="54" t="s">
        <v>4392</v>
      </c>
    </row>
    <row r="1703" spans="1:6" hidden="1">
      <c r="A1703" s="1655" t="s">
        <v>5314</v>
      </c>
      <c r="B1703" s="1649" t="s">
        <v>5315</v>
      </c>
      <c r="C1703" s="1655" t="s">
        <v>5316</v>
      </c>
      <c r="D1703" s="54" t="s">
        <v>856</v>
      </c>
      <c r="F1703" s="54" t="s">
        <v>4392</v>
      </c>
    </row>
    <row r="1704" spans="1:6" hidden="1">
      <c r="A1704" s="1655" t="s">
        <v>5317</v>
      </c>
      <c r="B1704" s="1649" t="s">
        <v>5318</v>
      </c>
      <c r="C1704" s="1655" t="s">
        <v>5319</v>
      </c>
      <c r="D1704" s="54" t="s">
        <v>856</v>
      </c>
      <c r="F1704" s="54" t="s">
        <v>4392</v>
      </c>
    </row>
    <row r="1705" spans="1:6" hidden="1">
      <c r="A1705" s="1655" t="s">
        <v>5325</v>
      </c>
      <c r="B1705" s="1649" t="s">
        <v>5326</v>
      </c>
      <c r="C1705" s="1655" t="s">
        <v>5327</v>
      </c>
      <c r="D1705" s="54" t="s">
        <v>856</v>
      </c>
      <c r="F1705" s="54" t="s">
        <v>4392</v>
      </c>
    </row>
    <row r="1706" spans="1:6" hidden="1">
      <c r="A1706" s="1655" t="s">
        <v>5334</v>
      </c>
      <c r="B1706" s="1649" t="s">
        <v>5335</v>
      </c>
      <c r="C1706" s="1655" t="s">
        <v>5336</v>
      </c>
      <c r="D1706" s="54" t="s">
        <v>856</v>
      </c>
      <c r="F1706" s="54" t="s">
        <v>4392</v>
      </c>
    </row>
    <row r="1707" spans="1:6" hidden="1">
      <c r="A1707" s="1655" t="s">
        <v>5344</v>
      </c>
      <c r="B1707" s="1649" t="s">
        <v>5345</v>
      </c>
      <c r="C1707" s="1655" t="s">
        <v>5346</v>
      </c>
      <c r="D1707" s="54" t="s">
        <v>2278</v>
      </c>
      <c r="F1707" s="54" t="s">
        <v>4392</v>
      </c>
    </row>
    <row r="1708" spans="1:6" hidden="1">
      <c r="A1708" s="1655" t="s">
        <v>5349</v>
      </c>
      <c r="B1708" s="1649" t="s">
        <v>1709</v>
      </c>
      <c r="C1708" s="1655" t="s">
        <v>5350</v>
      </c>
      <c r="D1708" s="54" t="s">
        <v>2278</v>
      </c>
      <c r="F1708" s="54" t="s">
        <v>4392</v>
      </c>
    </row>
    <row r="1709" spans="1:6" hidden="1">
      <c r="A1709" s="1655" t="s">
        <v>5351</v>
      </c>
      <c r="B1709" s="1649" t="s">
        <v>1709</v>
      </c>
      <c r="C1709" s="1655" t="s">
        <v>5352</v>
      </c>
      <c r="D1709" s="54" t="s">
        <v>2278</v>
      </c>
      <c r="F1709" s="54" t="s">
        <v>4392</v>
      </c>
    </row>
    <row r="1710" spans="1:6" hidden="1">
      <c r="A1710" s="1655" t="s">
        <v>5357</v>
      </c>
      <c r="B1710" s="1649" t="s">
        <v>5358</v>
      </c>
      <c r="C1710" s="1655" t="s">
        <v>5359</v>
      </c>
      <c r="D1710" s="54" t="s">
        <v>2831</v>
      </c>
      <c r="F1710" s="54" t="s">
        <v>4392</v>
      </c>
    </row>
    <row r="1711" spans="1:6" hidden="1">
      <c r="A1711" s="1655" t="s">
        <v>5360</v>
      </c>
      <c r="B1711" s="1649" t="s">
        <v>5361</v>
      </c>
      <c r="C1711" s="1655" t="s">
        <v>5362</v>
      </c>
      <c r="D1711" s="54" t="s">
        <v>5363</v>
      </c>
      <c r="F1711" s="54">
        <v>3000</v>
      </c>
    </row>
    <row r="1712" spans="1:6" hidden="1">
      <c r="A1712" s="1655" t="s">
        <v>5364</v>
      </c>
      <c r="B1712" s="1649" t="s">
        <v>2127</v>
      </c>
      <c r="C1712" s="1655" t="s">
        <v>5365</v>
      </c>
      <c r="D1712" s="54" t="s">
        <v>2831</v>
      </c>
      <c r="F1712" s="54" t="s">
        <v>4392</v>
      </c>
    </row>
    <row r="1713" spans="1:6" hidden="1">
      <c r="A1713" s="1655" t="s">
        <v>5366</v>
      </c>
      <c r="B1713" s="1649" t="s">
        <v>5144</v>
      </c>
      <c r="C1713" s="1655" t="s">
        <v>5367</v>
      </c>
      <c r="D1713" s="54" t="s">
        <v>2439</v>
      </c>
      <c r="F1713" s="54" t="s">
        <v>4392</v>
      </c>
    </row>
    <row r="1714" spans="1:6" hidden="1">
      <c r="A1714" s="1655" t="s">
        <v>5368</v>
      </c>
      <c r="B1714" s="1649" t="s">
        <v>5144</v>
      </c>
      <c r="C1714" s="1655" t="s">
        <v>5369</v>
      </c>
      <c r="D1714" s="54" t="s">
        <v>2439</v>
      </c>
      <c r="F1714" s="54" t="s">
        <v>4392</v>
      </c>
    </row>
    <row r="1715" spans="1:6" hidden="1">
      <c r="A1715" s="1655" t="s">
        <v>5370</v>
      </c>
      <c r="B1715" s="1649" t="s">
        <v>5144</v>
      </c>
      <c r="C1715" s="1655" t="s">
        <v>5371</v>
      </c>
      <c r="D1715" s="54" t="s">
        <v>2439</v>
      </c>
      <c r="F1715" s="54" t="s">
        <v>4392</v>
      </c>
    </row>
    <row r="1716" spans="1:6" hidden="1">
      <c r="A1716" s="1655" t="s">
        <v>5372</v>
      </c>
      <c r="B1716" s="1649" t="s">
        <v>5144</v>
      </c>
      <c r="C1716" s="1655" t="s">
        <v>5373</v>
      </c>
      <c r="D1716" s="54" t="s">
        <v>2439</v>
      </c>
      <c r="F1716" s="54" t="s">
        <v>4392</v>
      </c>
    </row>
    <row r="1717" spans="1:6" hidden="1">
      <c r="A1717" s="1655" t="s">
        <v>5376</v>
      </c>
      <c r="B1717" s="1649" t="s">
        <v>5377</v>
      </c>
      <c r="C1717" s="1655" t="s">
        <v>5378</v>
      </c>
      <c r="D1717" s="54" t="s">
        <v>2439</v>
      </c>
      <c r="F1717" s="54" t="s">
        <v>4392</v>
      </c>
    </row>
    <row r="1718" spans="1:6" hidden="1">
      <c r="A1718" s="1655" t="s">
        <v>5379</v>
      </c>
      <c r="B1718" s="1649" t="s">
        <v>5380</v>
      </c>
      <c r="C1718" s="1655" t="s">
        <v>5381</v>
      </c>
      <c r="D1718" s="54" t="s">
        <v>2439</v>
      </c>
      <c r="F1718" s="54" t="s">
        <v>4392</v>
      </c>
    </row>
    <row r="1719" spans="1:6" hidden="1">
      <c r="A1719" s="1655" t="s">
        <v>5382</v>
      </c>
      <c r="B1719" s="1649" t="s">
        <v>5383</v>
      </c>
      <c r="C1719" s="1655" t="s">
        <v>5384</v>
      </c>
      <c r="D1719" s="54" t="s">
        <v>2439</v>
      </c>
      <c r="F1719" s="54" t="s">
        <v>4392</v>
      </c>
    </row>
    <row r="1720" spans="1:6" hidden="1">
      <c r="A1720" s="1655" t="s">
        <v>5385</v>
      </c>
      <c r="B1720" s="1649" t="s">
        <v>5386</v>
      </c>
      <c r="C1720" s="1655" t="s">
        <v>5387</v>
      </c>
      <c r="D1720" s="54" t="s">
        <v>2439</v>
      </c>
      <c r="F1720" s="54" t="s">
        <v>4392</v>
      </c>
    </row>
    <row r="1721" spans="1:6" hidden="1">
      <c r="A1721" s="1655" t="s">
        <v>5388</v>
      </c>
      <c r="B1721" s="1649" t="s">
        <v>5389</v>
      </c>
      <c r="C1721" s="1655" t="s">
        <v>5390</v>
      </c>
      <c r="D1721" s="54" t="s">
        <v>2439</v>
      </c>
      <c r="F1721" s="54" t="s">
        <v>4392</v>
      </c>
    </row>
    <row r="1722" spans="1:6" hidden="1">
      <c r="A1722" s="1655" t="s">
        <v>5391</v>
      </c>
      <c r="B1722" s="1649" t="s">
        <v>5392</v>
      </c>
      <c r="C1722" s="1655" t="s">
        <v>5393</v>
      </c>
      <c r="D1722" s="54" t="s">
        <v>2439</v>
      </c>
      <c r="F1722" s="54" t="s">
        <v>4392</v>
      </c>
    </row>
    <row r="1723" spans="1:6" hidden="1">
      <c r="A1723" s="1655" t="s">
        <v>5394</v>
      </c>
      <c r="B1723" s="1649" t="s">
        <v>5395</v>
      </c>
      <c r="C1723" s="1655" t="s">
        <v>5396</v>
      </c>
      <c r="D1723" s="54" t="s">
        <v>2439</v>
      </c>
      <c r="F1723" s="54" t="s">
        <v>4392</v>
      </c>
    </row>
    <row r="1724" spans="1:6" hidden="1">
      <c r="A1724" s="1655" t="s">
        <v>5397</v>
      </c>
      <c r="B1724" s="1649" t="s">
        <v>5398</v>
      </c>
      <c r="C1724" s="1655" t="s">
        <v>5399</v>
      </c>
      <c r="D1724" s="54" t="s">
        <v>2439</v>
      </c>
      <c r="F1724" s="54" t="s">
        <v>4392</v>
      </c>
    </row>
    <row r="1725" spans="1:6" hidden="1">
      <c r="A1725" s="1655" t="s">
        <v>5400</v>
      </c>
      <c r="B1725" s="1649" t="s">
        <v>5401</v>
      </c>
      <c r="C1725" s="1655" t="s">
        <v>5402</v>
      </c>
      <c r="D1725" s="54" t="s">
        <v>2439</v>
      </c>
      <c r="F1725" s="54" t="s">
        <v>4392</v>
      </c>
    </row>
    <row r="1726" spans="1:6" hidden="1">
      <c r="A1726" s="1655" t="s">
        <v>5403</v>
      </c>
      <c r="B1726" s="1649" t="s">
        <v>5395</v>
      </c>
      <c r="C1726" s="1655" t="s">
        <v>5404</v>
      </c>
      <c r="D1726" s="54" t="s">
        <v>2439</v>
      </c>
      <c r="F1726" s="54" t="s">
        <v>4392</v>
      </c>
    </row>
    <row r="1727" spans="1:6" hidden="1">
      <c r="A1727" s="1655" t="s">
        <v>5405</v>
      </c>
      <c r="B1727" s="1649" t="s">
        <v>5406</v>
      </c>
      <c r="C1727" s="1655" t="s">
        <v>5407</v>
      </c>
      <c r="D1727" s="54" t="s">
        <v>2439</v>
      </c>
      <c r="F1727" s="54" t="s">
        <v>4392</v>
      </c>
    </row>
    <row r="1728" spans="1:6" hidden="1">
      <c r="A1728" s="1655" t="s">
        <v>5408</v>
      </c>
      <c r="B1728" s="1649" t="s">
        <v>5409</v>
      </c>
      <c r="C1728" s="1655" t="s">
        <v>5410</v>
      </c>
      <c r="D1728" s="54" t="s">
        <v>2439</v>
      </c>
      <c r="F1728" s="54" t="s">
        <v>4392</v>
      </c>
    </row>
    <row r="1729" spans="1:6" hidden="1">
      <c r="A1729" s="1655" t="s">
        <v>5411</v>
      </c>
      <c r="B1729" s="1649" t="s">
        <v>5412</v>
      </c>
      <c r="C1729" s="1655" t="s">
        <v>5413</v>
      </c>
      <c r="D1729" s="54" t="s">
        <v>2439</v>
      </c>
      <c r="F1729" s="54" t="s">
        <v>4392</v>
      </c>
    </row>
    <row r="1730" spans="1:6" hidden="1">
      <c r="A1730" s="1655" t="s">
        <v>5414</v>
      </c>
      <c r="B1730" s="1649" t="s">
        <v>5415</v>
      </c>
      <c r="C1730" s="1655" t="s">
        <v>5416</v>
      </c>
      <c r="D1730" s="54" t="s">
        <v>2439</v>
      </c>
      <c r="F1730" s="54" t="s">
        <v>4392</v>
      </c>
    </row>
    <row r="1731" spans="1:6" hidden="1">
      <c r="A1731" s="1655" t="s">
        <v>5419</v>
      </c>
      <c r="B1731" s="1649" t="s">
        <v>2265</v>
      </c>
      <c r="C1731" s="1655" t="s">
        <v>5420</v>
      </c>
      <c r="D1731" s="54" t="s">
        <v>2439</v>
      </c>
      <c r="F1731" s="54" t="s">
        <v>4392</v>
      </c>
    </row>
    <row r="1732" spans="1:6" hidden="1">
      <c r="A1732" s="1655" t="s">
        <v>5421</v>
      </c>
      <c r="B1732" s="1649" t="s">
        <v>5422</v>
      </c>
      <c r="C1732" s="1655" t="s">
        <v>5423</v>
      </c>
      <c r="D1732" s="54" t="s">
        <v>2248</v>
      </c>
      <c r="F1732" s="54" t="s">
        <v>4392</v>
      </c>
    </row>
    <row r="1733" spans="1:6" hidden="1">
      <c r="A1733" s="1655" t="s">
        <v>5428</v>
      </c>
      <c r="B1733" s="1649" t="s">
        <v>5429</v>
      </c>
      <c r="C1733" s="1655" t="s">
        <v>5430</v>
      </c>
      <c r="D1733" s="54" t="s">
        <v>2439</v>
      </c>
      <c r="F1733" s="54" t="s">
        <v>4392</v>
      </c>
    </row>
    <row r="1734" spans="1:6" hidden="1">
      <c r="A1734" s="1655" t="s">
        <v>5431</v>
      </c>
      <c r="B1734" s="1649" t="s">
        <v>5432</v>
      </c>
      <c r="C1734" s="1655" t="s">
        <v>5433</v>
      </c>
      <c r="D1734" s="54" t="s">
        <v>2439</v>
      </c>
      <c r="F1734" s="54" t="s">
        <v>4392</v>
      </c>
    </row>
    <row r="1735" spans="1:6" hidden="1">
      <c r="A1735" s="1655" t="s">
        <v>5434</v>
      </c>
      <c r="B1735" s="1649" t="s">
        <v>5435</v>
      </c>
      <c r="C1735" s="1655" t="s">
        <v>5436</v>
      </c>
      <c r="D1735" s="54" t="s">
        <v>2439</v>
      </c>
      <c r="F1735" s="54" t="s">
        <v>4392</v>
      </c>
    </row>
    <row r="1736" spans="1:6" hidden="1">
      <c r="A1736" s="1655" t="s">
        <v>5437</v>
      </c>
      <c r="B1736" s="1649" t="s">
        <v>5438</v>
      </c>
      <c r="C1736" s="1655" t="s">
        <v>5439</v>
      </c>
      <c r="D1736" s="54" t="s">
        <v>2439</v>
      </c>
      <c r="F1736" s="54" t="s">
        <v>4392</v>
      </c>
    </row>
    <row r="1737" spans="1:6" hidden="1">
      <c r="A1737" s="1655" t="s">
        <v>5441</v>
      </c>
      <c r="B1737" s="1649" t="s">
        <v>5427</v>
      </c>
      <c r="C1737" s="1655" t="s">
        <v>5442</v>
      </c>
      <c r="D1737" s="54" t="s">
        <v>2439</v>
      </c>
      <c r="F1737" s="54" t="s">
        <v>4392</v>
      </c>
    </row>
    <row r="1738" spans="1:6" hidden="1">
      <c r="A1738" s="1655" t="s">
        <v>5443</v>
      </c>
      <c r="B1738" s="1649" t="s">
        <v>5429</v>
      </c>
      <c r="C1738" s="1655" t="s">
        <v>5444</v>
      </c>
      <c r="D1738" s="54" t="s">
        <v>2439</v>
      </c>
      <c r="F1738" s="54" t="s">
        <v>4392</v>
      </c>
    </row>
    <row r="1739" spans="1:6" hidden="1">
      <c r="A1739" s="1655" t="s">
        <v>5445</v>
      </c>
      <c r="B1739" s="1649" t="s">
        <v>5446</v>
      </c>
      <c r="C1739" s="1655" t="s">
        <v>5447</v>
      </c>
      <c r="D1739" s="54" t="s">
        <v>2439</v>
      </c>
      <c r="F1739" s="54" t="s">
        <v>4392</v>
      </c>
    </row>
    <row r="1740" spans="1:6" hidden="1">
      <c r="A1740" s="1655" t="s">
        <v>5448</v>
      </c>
      <c r="B1740" s="1649" t="s">
        <v>5449</v>
      </c>
      <c r="C1740" s="1655" t="s">
        <v>5450</v>
      </c>
      <c r="D1740" s="54" t="s">
        <v>2439</v>
      </c>
      <c r="F1740" s="54" t="s">
        <v>4392</v>
      </c>
    </row>
    <row r="1741" spans="1:6" hidden="1">
      <c r="A1741" s="1655" t="s">
        <v>5451</v>
      </c>
      <c r="C1741" s="1655" t="s">
        <v>5452</v>
      </c>
      <c r="D1741" s="54" t="s">
        <v>2555</v>
      </c>
      <c r="F1741" s="54" t="s">
        <v>4392</v>
      </c>
    </row>
    <row r="1742" spans="1:6" hidden="1">
      <c r="A1742" s="1655" t="s">
        <v>5453</v>
      </c>
      <c r="C1742" s="1655" t="s">
        <v>5454</v>
      </c>
      <c r="D1742" s="54" t="s">
        <v>2555</v>
      </c>
      <c r="F1742" s="54" t="s">
        <v>4392</v>
      </c>
    </row>
    <row r="1743" spans="1:6" hidden="1">
      <c r="A1743" s="1655" t="s">
        <v>5456</v>
      </c>
      <c r="B1743" s="1649" t="s">
        <v>5457</v>
      </c>
      <c r="C1743" s="1655" t="s">
        <v>3178</v>
      </c>
      <c r="D1743" s="54" t="s">
        <v>2555</v>
      </c>
      <c r="F1743" s="54" t="s">
        <v>4392</v>
      </c>
    </row>
    <row r="1744" spans="1:6" hidden="1">
      <c r="A1744" s="1655" t="s">
        <v>5458</v>
      </c>
      <c r="B1744" s="1649">
        <v>74316</v>
      </c>
      <c r="C1744" s="1655" t="s">
        <v>5459</v>
      </c>
      <c r="D1744" s="54" t="s">
        <v>2555</v>
      </c>
      <c r="F1744" s="54" t="s">
        <v>4392</v>
      </c>
    </row>
    <row r="1745" spans="1:6" hidden="1">
      <c r="A1745" s="1655" t="s">
        <v>5460</v>
      </c>
      <c r="B1745" s="1649" t="s">
        <v>5461</v>
      </c>
      <c r="C1745" s="1655" t="s">
        <v>5462</v>
      </c>
      <c r="D1745" s="54" t="s">
        <v>2555</v>
      </c>
      <c r="F1745" s="54" t="s">
        <v>4392</v>
      </c>
    </row>
    <row r="1746" spans="1:6" hidden="1">
      <c r="A1746" s="1655" t="s">
        <v>5463</v>
      </c>
      <c r="B1746" s="1649" t="s">
        <v>1778</v>
      </c>
      <c r="C1746" s="1655" t="s">
        <v>5464</v>
      </c>
      <c r="D1746" s="54" t="s">
        <v>2555</v>
      </c>
      <c r="F1746" s="54" t="s">
        <v>4392</v>
      </c>
    </row>
    <row r="1747" spans="1:6" hidden="1">
      <c r="A1747" s="1655" t="s">
        <v>5465</v>
      </c>
      <c r="B1747" s="1649">
        <v>74316</v>
      </c>
      <c r="C1747" s="1655" t="s">
        <v>5459</v>
      </c>
      <c r="D1747" s="54" t="s">
        <v>2555</v>
      </c>
      <c r="F1747" s="54" t="s">
        <v>4392</v>
      </c>
    </row>
    <row r="1748" spans="1:6" hidden="1">
      <c r="A1748" s="1655" t="s">
        <v>5471</v>
      </c>
      <c r="B1748" s="1649" t="s">
        <v>5472</v>
      </c>
      <c r="C1748" s="1655" t="s">
        <v>5473</v>
      </c>
      <c r="D1748" s="54" t="s">
        <v>856</v>
      </c>
      <c r="F1748" s="54" t="s">
        <v>4392</v>
      </c>
    </row>
    <row r="1749" spans="1:6" hidden="1">
      <c r="A1749" s="1655" t="s">
        <v>5476</v>
      </c>
      <c r="B1749" s="1649" t="s">
        <v>5477</v>
      </c>
      <c r="C1749" s="1655" t="s">
        <v>5478</v>
      </c>
      <c r="D1749" s="54" t="s">
        <v>1960</v>
      </c>
      <c r="F1749" s="54">
        <v>3000</v>
      </c>
    </row>
    <row r="1750" spans="1:6" hidden="1">
      <c r="A1750" s="1655" t="s">
        <v>5479</v>
      </c>
      <c r="C1750" s="1655" t="s">
        <v>5480</v>
      </c>
      <c r="D1750" s="54" t="s">
        <v>856</v>
      </c>
      <c r="F1750" s="54">
        <v>3000</v>
      </c>
    </row>
    <row r="1751" spans="1:6">
      <c r="A1751" s="1655" t="s">
        <v>5481</v>
      </c>
      <c r="C1751" s="1655" t="s">
        <v>5482</v>
      </c>
      <c r="D1751" s="54" t="s">
        <v>856</v>
      </c>
      <c r="F1751" s="54">
        <v>3000</v>
      </c>
    </row>
    <row r="1752" spans="1:6" hidden="1">
      <c r="A1752" s="1655" t="s">
        <v>5483</v>
      </c>
      <c r="B1752" s="1649" t="s">
        <v>5484</v>
      </c>
      <c r="C1752" s="1655" t="s">
        <v>5485</v>
      </c>
      <c r="D1752" s="54" t="s">
        <v>856</v>
      </c>
      <c r="F1752" s="54">
        <v>3000</v>
      </c>
    </row>
    <row r="1753" spans="1:6" hidden="1">
      <c r="A1753" s="1655" t="s">
        <v>5490</v>
      </c>
      <c r="B1753" s="1649" t="s">
        <v>5491</v>
      </c>
      <c r="C1753" s="1655" t="s">
        <v>3215</v>
      </c>
      <c r="D1753" s="54" t="s">
        <v>2037</v>
      </c>
      <c r="F1753" s="54" t="s">
        <v>4392</v>
      </c>
    </row>
    <row r="1754" spans="1:6" hidden="1">
      <c r="A1754" s="1655" t="s">
        <v>5492</v>
      </c>
      <c r="B1754" s="1649" t="s">
        <v>5486</v>
      </c>
      <c r="C1754" s="1655" t="s">
        <v>2563</v>
      </c>
      <c r="D1754" s="54" t="s">
        <v>2037</v>
      </c>
      <c r="F1754" s="54" t="s">
        <v>4392</v>
      </c>
    </row>
    <row r="1755" spans="1:6" hidden="1">
      <c r="A1755" s="1655" t="s">
        <v>5493</v>
      </c>
      <c r="B1755" s="1649" t="s">
        <v>5487</v>
      </c>
      <c r="C1755" s="1655" t="s">
        <v>5494</v>
      </c>
      <c r="D1755" s="54" t="s">
        <v>2037</v>
      </c>
      <c r="F1755" s="54" t="s">
        <v>4392</v>
      </c>
    </row>
    <row r="1756" spans="1:6" hidden="1">
      <c r="A1756" s="1655" t="s">
        <v>5495</v>
      </c>
      <c r="B1756" s="1649" t="s">
        <v>5488</v>
      </c>
      <c r="C1756" s="1655" t="s">
        <v>4322</v>
      </c>
      <c r="D1756" s="54" t="s">
        <v>2037</v>
      </c>
      <c r="F1756" s="54" t="s">
        <v>4392</v>
      </c>
    </row>
    <row r="1757" spans="1:6" hidden="1">
      <c r="A1757" s="1655" t="s">
        <v>5496</v>
      </c>
      <c r="B1757" s="1649" t="s">
        <v>5489</v>
      </c>
      <c r="C1757" s="1655" t="s">
        <v>5497</v>
      </c>
      <c r="D1757" s="54" t="s">
        <v>2037</v>
      </c>
      <c r="F1757" s="54" t="s">
        <v>4392</v>
      </c>
    </row>
    <row r="1758" spans="1:6" hidden="1">
      <c r="A1758" s="1655" t="s">
        <v>5498</v>
      </c>
      <c r="B1758" s="1649" t="s">
        <v>5491</v>
      </c>
      <c r="C1758" s="1655" t="s">
        <v>5499</v>
      </c>
      <c r="D1758" s="54" t="s">
        <v>2037</v>
      </c>
      <c r="F1758" s="54" t="s">
        <v>4392</v>
      </c>
    </row>
    <row r="1759" spans="1:6" hidden="1">
      <c r="A1759" s="1655" t="s">
        <v>5500</v>
      </c>
      <c r="B1759" s="1649" t="s">
        <v>5486</v>
      </c>
      <c r="C1759" s="1655" t="s">
        <v>5501</v>
      </c>
      <c r="D1759" s="54" t="s">
        <v>2037</v>
      </c>
      <c r="F1759" s="54" t="s">
        <v>4392</v>
      </c>
    </row>
    <row r="1760" spans="1:6" hidden="1">
      <c r="A1760" s="1655" t="s">
        <v>5502</v>
      </c>
      <c r="B1760" s="1649" t="s">
        <v>5487</v>
      </c>
      <c r="C1760" s="1655" t="s">
        <v>5503</v>
      </c>
      <c r="D1760" s="54" t="s">
        <v>2037</v>
      </c>
      <c r="F1760" s="54" t="s">
        <v>4392</v>
      </c>
    </row>
    <row r="1761" spans="1:6" hidden="1">
      <c r="A1761" s="1655" t="s">
        <v>5504</v>
      </c>
      <c r="B1761" s="1649" t="s">
        <v>5488</v>
      </c>
      <c r="C1761" s="1655" t="s">
        <v>5505</v>
      </c>
      <c r="D1761" s="54" t="s">
        <v>2037</v>
      </c>
      <c r="F1761" s="54" t="s">
        <v>4392</v>
      </c>
    </row>
    <row r="1762" spans="1:6" hidden="1">
      <c r="A1762" s="1655" t="s">
        <v>5506</v>
      </c>
      <c r="B1762" s="1649" t="s">
        <v>5489</v>
      </c>
      <c r="C1762" s="1655" t="s">
        <v>5507</v>
      </c>
      <c r="D1762" s="54" t="s">
        <v>2037</v>
      </c>
      <c r="F1762" s="54" t="s">
        <v>4392</v>
      </c>
    </row>
    <row r="1763" spans="1:6" hidden="1">
      <c r="A1763" s="1655" t="s">
        <v>5508</v>
      </c>
      <c r="B1763" s="1649" t="s">
        <v>5491</v>
      </c>
      <c r="C1763" s="1655" t="s">
        <v>5509</v>
      </c>
      <c r="D1763" s="54" t="s">
        <v>2037</v>
      </c>
      <c r="F1763" s="54" t="s">
        <v>4392</v>
      </c>
    </row>
    <row r="1764" spans="1:6" hidden="1">
      <c r="A1764" s="1655" t="s">
        <v>5515</v>
      </c>
      <c r="B1764" s="1649" t="s">
        <v>5510</v>
      </c>
      <c r="C1764" s="1655" t="s">
        <v>5516</v>
      </c>
      <c r="D1764" s="54" t="s">
        <v>2037</v>
      </c>
      <c r="F1764" s="54" t="s">
        <v>4392</v>
      </c>
    </row>
    <row r="1765" spans="1:6" hidden="1">
      <c r="A1765" s="1655" t="s">
        <v>5517</v>
      </c>
      <c r="B1765" s="1649" t="s">
        <v>5511</v>
      </c>
      <c r="C1765" s="1655" t="s">
        <v>5518</v>
      </c>
      <c r="D1765" s="54" t="s">
        <v>2037</v>
      </c>
      <c r="F1765" s="54" t="s">
        <v>4392</v>
      </c>
    </row>
    <row r="1766" spans="1:6" hidden="1">
      <c r="A1766" s="1655" t="s">
        <v>5519</v>
      </c>
      <c r="B1766" s="1649" t="s">
        <v>5512</v>
      </c>
      <c r="C1766" s="1655" t="s">
        <v>5520</v>
      </c>
      <c r="D1766" s="54" t="s">
        <v>2037</v>
      </c>
      <c r="F1766" s="54" t="s">
        <v>4392</v>
      </c>
    </row>
    <row r="1767" spans="1:6" hidden="1">
      <c r="A1767" s="1655" t="s">
        <v>5521</v>
      </c>
      <c r="B1767" s="1649" t="s">
        <v>5513</v>
      </c>
      <c r="C1767" s="1655" t="s">
        <v>5522</v>
      </c>
      <c r="D1767" s="54" t="s">
        <v>2037</v>
      </c>
      <c r="F1767" s="54" t="s">
        <v>4392</v>
      </c>
    </row>
    <row r="1768" spans="1:6" hidden="1">
      <c r="A1768" s="1655" t="s">
        <v>5523</v>
      </c>
      <c r="B1768" s="1649" t="s">
        <v>5514</v>
      </c>
      <c r="C1768" s="1655" t="s">
        <v>5524</v>
      </c>
      <c r="D1768" s="54" t="s">
        <v>2037</v>
      </c>
      <c r="F1768" s="54" t="s">
        <v>4392</v>
      </c>
    </row>
    <row r="1769" spans="1:6" hidden="1">
      <c r="A1769" s="1655" t="s">
        <v>5525</v>
      </c>
      <c r="B1769" s="1649" t="s">
        <v>5526</v>
      </c>
      <c r="C1769" s="1655" t="s">
        <v>5527</v>
      </c>
      <c r="D1769" s="54" t="s">
        <v>2037</v>
      </c>
      <c r="F1769" s="54" t="s">
        <v>4392</v>
      </c>
    </row>
    <row r="1770" spans="1:6" hidden="1">
      <c r="A1770" s="1655" t="s">
        <v>5528</v>
      </c>
      <c r="B1770" s="1649" t="s">
        <v>5529</v>
      </c>
      <c r="C1770" s="1655" t="s">
        <v>5530</v>
      </c>
      <c r="D1770" s="54" t="s">
        <v>2037</v>
      </c>
      <c r="F1770" s="54" t="s">
        <v>4392</v>
      </c>
    </row>
    <row r="1771" spans="1:6" hidden="1">
      <c r="A1771" s="1655" t="s">
        <v>5531</v>
      </c>
      <c r="B1771" s="1649" t="s">
        <v>5532</v>
      </c>
      <c r="C1771" s="1655" t="s">
        <v>5533</v>
      </c>
      <c r="D1771" s="54" t="s">
        <v>2037</v>
      </c>
      <c r="F1771" s="54" t="s">
        <v>4392</v>
      </c>
    </row>
    <row r="1772" spans="1:6" hidden="1">
      <c r="A1772" s="1655" t="s">
        <v>5534</v>
      </c>
      <c r="B1772" s="1649" t="s">
        <v>5535</v>
      </c>
      <c r="C1772" s="1655" t="s">
        <v>5536</v>
      </c>
      <c r="D1772" s="54" t="s">
        <v>2037</v>
      </c>
      <c r="F1772" s="54" t="s">
        <v>4392</v>
      </c>
    </row>
    <row r="1773" spans="1:6" hidden="1">
      <c r="A1773" s="1655" t="s">
        <v>5537</v>
      </c>
      <c r="B1773" s="1649" t="s">
        <v>5538</v>
      </c>
      <c r="C1773" s="1655" t="s">
        <v>5539</v>
      </c>
      <c r="D1773" s="54" t="s">
        <v>2037</v>
      </c>
      <c r="F1773" s="54" t="s">
        <v>4392</v>
      </c>
    </row>
    <row r="1774" spans="1:6" hidden="1">
      <c r="A1774" s="1655" t="s">
        <v>5540</v>
      </c>
      <c r="B1774" s="1649" t="s">
        <v>478</v>
      </c>
      <c r="C1774" s="1655" t="s">
        <v>5541</v>
      </c>
      <c r="D1774" s="54" t="s">
        <v>2037</v>
      </c>
      <c r="F1774" s="54" t="s">
        <v>4392</v>
      </c>
    </row>
    <row r="1775" spans="1:6" hidden="1">
      <c r="A1775" s="1655" t="s">
        <v>5545</v>
      </c>
      <c r="B1775" s="1649" t="s">
        <v>5546</v>
      </c>
      <c r="C1775" s="1655" t="s">
        <v>5547</v>
      </c>
      <c r="D1775" s="54" t="s">
        <v>2532</v>
      </c>
      <c r="F1775" s="54" t="s">
        <v>4392</v>
      </c>
    </row>
    <row r="1776" spans="1:6" hidden="1">
      <c r="A1776" s="1655" t="s">
        <v>5549</v>
      </c>
      <c r="B1776" s="1649">
        <v>73213</v>
      </c>
      <c r="C1776" s="1655" t="s">
        <v>5550</v>
      </c>
      <c r="D1776" s="54" t="s">
        <v>2532</v>
      </c>
      <c r="F1776" s="54" t="s">
        <v>4392</v>
      </c>
    </row>
    <row r="1777" spans="1:6" hidden="1">
      <c r="A1777" s="1655" t="s">
        <v>5551</v>
      </c>
      <c r="B1777" s="1649">
        <v>73413</v>
      </c>
      <c r="C1777" s="1655" t="s">
        <v>5552</v>
      </c>
      <c r="D1777" s="54" t="s">
        <v>2532</v>
      </c>
      <c r="F1777" s="54" t="s">
        <v>4392</v>
      </c>
    </row>
    <row r="1778" spans="1:6" hidden="1">
      <c r="A1778" s="1655" t="s">
        <v>5553</v>
      </c>
      <c r="B1778" s="1649" t="s">
        <v>5554</v>
      </c>
      <c r="C1778" s="1655" t="s">
        <v>5555</v>
      </c>
      <c r="D1778" s="54" t="s">
        <v>2439</v>
      </c>
      <c r="F1778" s="54" t="s">
        <v>4392</v>
      </c>
    </row>
    <row r="1779" spans="1:6" hidden="1">
      <c r="A1779" s="1655" t="s">
        <v>5557</v>
      </c>
      <c r="B1779" s="1649" t="s">
        <v>5558</v>
      </c>
      <c r="C1779" s="1655" t="s">
        <v>5559</v>
      </c>
      <c r="D1779" s="54" t="s">
        <v>2555</v>
      </c>
      <c r="F1779" s="54" t="s">
        <v>4392</v>
      </c>
    </row>
    <row r="1780" spans="1:6" hidden="1">
      <c r="A1780" s="1655" t="s">
        <v>5561</v>
      </c>
      <c r="B1780" s="1649" t="s">
        <v>5560</v>
      </c>
      <c r="C1780" s="1655" t="s">
        <v>5562</v>
      </c>
      <c r="D1780" s="54" t="s">
        <v>2439</v>
      </c>
      <c r="F1780" s="54" t="s">
        <v>4392</v>
      </c>
    </row>
    <row r="1781" spans="1:6" hidden="1">
      <c r="C1781" s="1655" t="s">
        <v>5566</v>
      </c>
      <c r="F1781" s="54">
        <v>3000</v>
      </c>
    </row>
    <row r="1782" spans="1:6" hidden="1">
      <c r="A1782" s="1655" t="s">
        <v>5571</v>
      </c>
      <c r="B1782" s="1649" t="s">
        <v>5572</v>
      </c>
      <c r="C1782" s="1655" t="s">
        <v>5573</v>
      </c>
      <c r="D1782" s="54" t="s">
        <v>1823</v>
      </c>
      <c r="F1782" s="54" t="s">
        <v>4392</v>
      </c>
    </row>
    <row r="1783" spans="1:6" hidden="1">
      <c r="A1783" s="1655" t="s">
        <v>5574</v>
      </c>
      <c r="B1783" s="1649" t="s">
        <v>435</v>
      </c>
      <c r="C1783" s="1655" t="s">
        <v>5575</v>
      </c>
      <c r="D1783" s="54" t="s">
        <v>2555</v>
      </c>
      <c r="F1783" s="54" t="s">
        <v>4392</v>
      </c>
    </row>
    <row r="1784" spans="1:6" hidden="1">
      <c r="A1784" s="1655" t="s">
        <v>5578</v>
      </c>
      <c r="F1784" s="54" t="s">
        <v>4392</v>
      </c>
    </row>
    <row r="1785" spans="1:6">
      <c r="A1785" s="1655" t="s">
        <v>5591</v>
      </c>
      <c r="B1785" s="1649" t="s">
        <v>5592</v>
      </c>
      <c r="C1785" s="1655" t="s">
        <v>5593</v>
      </c>
      <c r="D1785" s="54" t="s">
        <v>3369</v>
      </c>
      <c r="F1785" s="54" t="s">
        <v>4392</v>
      </c>
    </row>
    <row r="1786" spans="1:6" hidden="1">
      <c r="A1786" s="1655" t="s">
        <v>5599</v>
      </c>
      <c r="B1786" s="1649" t="s">
        <v>5598</v>
      </c>
      <c r="C1786" s="1655" t="s">
        <v>1194</v>
      </c>
      <c r="D1786" s="54" t="s">
        <v>2555</v>
      </c>
      <c r="F1786" s="54" t="s">
        <v>4392</v>
      </c>
    </row>
    <row r="1787" spans="1:6" hidden="1">
      <c r="A1787" s="1655" t="s">
        <v>5600</v>
      </c>
      <c r="B1787" s="1649" t="s">
        <v>5598</v>
      </c>
      <c r="C1787" s="1655" t="s">
        <v>1193</v>
      </c>
      <c r="D1787" s="54" t="s">
        <v>2555</v>
      </c>
      <c r="F1787" s="54" t="s">
        <v>4392</v>
      </c>
    </row>
    <row r="1788" spans="1:6">
      <c r="A1788" s="1655" t="s">
        <v>5601</v>
      </c>
      <c r="C1788" s="1655" t="s">
        <v>5602</v>
      </c>
      <c r="D1788" s="54" t="s">
        <v>2555</v>
      </c>
      <c r="F1788" s="54" t="s">
        <v>4392</v>
      </c>
    </row>
    <row r="1789" spans="1:6" hidden="1">
      <c r="A1789" s="1655" t="s">
        <v>5603</v>
      </c>
      <c r="C1789" s="1655" t="s">
        <v>5604</v>
      </c>
      <c r="D1789" s="54" t="s">
        <v>2555</v>
      </c>
      <c r="F1789" s="54" t="s">
        <v>4392</v>
      </c>
    </row>
    <row r="1790" spans="1:6" hidden="1">
      <c r="A1790" s="1655" t="s">
        <v>5605</v>
      </c>
      <c r="C1790" s="1655" t="s">
        <v>5606</v>
      </c>
      <c r="D1790" s="54" t="s">
        <v>2555</v>
      </c>
      <c r="F1790" s="54" t="s">
        <v>4392</v>
      </c>
    </row>
    <row r="1791" spans="1:6" hidden="1">
      <c r="A1791" s="1655" t="s">
        <v>5608</v>
      </c>
      <c r="B1791" s="1649" t="s">
        <v>5609</v>
      </c>
      <c r="C1791" s="1655" t="s">
        <v>5610</v>
      </c>
      <c r="D1791" s="54" t="s">
        <v>3369</v>
      </c>
      <c r="F1791" s="54" t="s">
        <v>4392</v>
      </c>
    </row>
    <row r="1792" spans="1:6" hidden="1">
      <c r="A1792" s="1655" t="s">
        <v>5611</v>
      </c>
      <c r="B1792" s="1649" t="s">
        <v>1025</v>
      </c>
      <c r="C1792" s="1655" t="s">
        <v>5612</v>
      </c>
      <c r="D1792" s="54" t="s">
        <v>3369</v>
      </c>
      <c r="F1792" s="54" t="s">
        <v>4392</v>
      </c>
    </row>
    <row r="1793" spans="1:6" hidden="1">
      <c r="A1793" s="1655" t="s">
        <v>5613</v>
      </c>
      <c r="B1793" s="1649" t="s">
        <v>1025</v>
      </c>
      <c r="C1793" s="1655" t="s">
        <v>5614</v>
      </c>
      <c r="D1793" s="54" t="s">
        <v>3369</v>
      </c>
      <c r="F1793" s="54">
        <v>3000</v>
      </c>
    </row>
    <row r="1794" spans="1:6" hidden="1">
      <c r="A1794" s="1655" t="s">
        <v>5618</v>
      </c>
      <c r="B1794" s="1649" t="s">
        <v>5615</v>
      </c>
      <c r="C1794" s="1655" t="s">
        <v>5619</v>
      </c>
      <c r="D1794" s="54" t="s">
        <v>3369</v>
      </c>
      <c r="F1794" s="54" t="s">
        <v>4392</v>
      </c>
    </row>
    <row r="1795" spans="1:6" hidden="1">
      <c r="A1795" s="1655" t="s">
        <v>5620</v>
      </c>
      <c r="B1795" s="1649" t="s">
        <v>1025</v>
      </c>
      <c r="C1795" s="1655" t="s">
        <v>5621</v>
      </c>
      <c r="D1795" s="54" t="s">
        <v>3369</v>
      </c>
      <c r="F1795" s="54" t="s">
        <v>4392</v>
      </c>
    </row>
    <row r="1796" spans="1:6" hidden="1">
      <c r="A1796" s="1655" t="s">
        <v>5622</v>
      </c>
      <c r="B1796" s="1649" t="s">
        <v>1388</v>
      </c>
      <c r="C1796" s="1655" t="s">
        <v>5623</v>
      </c>
      <c r="D1796" s="54" t="s">
        <v>3369</v>
      </c>
      <c r="F1796" s="54" t="s">
        <v>4392</v>
      </c>
    </row>
    <row r="1797" spans="1:6" hidden="1">
      <c r="A1797" s="1655" t="s">
        <v>5624</v>
      </c>
      <c r="B1797" s="1649" t="s">
        <v>5625</v>
      </c>
      <c r="C1797" s="1655" t="s">
        <v>5626</v>
      </c>
      <c r="D1797" s="54" t="s">
        <v>3369</v>
      </c>
      <c r="F1797" s="54" t="s">
        <v>4392</v>
      </c>
    </row>
    <row r="1798" spans="1:6" hidden="1">
      <c r="A1798" s="1655" t="s">
        <v>5627</v>
      </c>
      <c r="B1798" s="1649" t="s">
        <v>5625</v>
      </c>
      <c r="C1798" s="1655" t="s">
        <v>5628</v>
      </c>
      <c r="D1798" s="54" t="s">
        <v>3369</v>
      </c>
      <c r="F1798" s="54" t="s">
        <v>4392</v>
      </c>
    </row>
    <row r="1799" spans="1:6" hidden="1">
      <c r="A1799" s="1655" t="s">
        <v>5630</v>
      </c>
      <c r="B1799" s="1649" t="s">
        <v>5629</v>
      </c>
      <c r="C1799" s="1655" t="s">
        <v>5631</v>
      </c>
      <c r="D1799" s="54" t="s">
        <v>2555</v>
      </c>
      <c r="F1799" s="54">
        <v>50</v>
      </c>
    </row>
    <row r="1800" spans="1:6" hidden="1">
      <c r="A1800" s="1655" t="s">
        <v>5632</v>
      </c>
      <c r="B1800" s="1649" t="s">
        <v>5629</v>
      </c>
      <c r="C1800" s="1655" t="s">
        <v>5633</v>
      </c>
      <c r="D1800" s="54" t="s">
        <v>2555</v>
      </c>
      <c r="F1800" s="54">
        <v>50</v>
      </c>
    </row>
    <row r="1801" spans="1:6" hidden="1">
      <c r="A1801" s="1655" t="s">
        <v>5634</v>
      </c>
      <c r="B1801" s="1649" t="s">
        <v>5629</v>
      </c>
      <c r="C1801" s="1655" t="s">
        <v>5635</v>
      </c>
      <c r="D1801" s="54" t="s">
        <v>2555</v>
      </c>
      <c r="F1801" s="54">
        <v>50</v>
      </c>
    </row>
    <row r="1802" spans="1:6" hidden="1">
      <c r="A1802" s="1655" t="s">
        <v>5637</v>
      </c>
      <c r="B1802" s="1649" t="s">
        <v>5629</v>
      </c>
      <c r="C1802" s="1655" t="s">
        <v>5638</v>
      </c>
      <c r="D1802" s="54" t="s">
        <v>2555</v>
      </c>
      <c r="F1802" s="54">
        <v>50</v>
      </c>
    </row>
    <row r="1803" spans="1:6" hidden="1">
      <c r="A1803" s="1655" t="s">
        <v>5639</v>
      </c>
      <c r="B1803" s="1649" t="s">
        <v>5629</v>
      </c>
      <c r="C1803" s="1655" t="s">
        <v>5640</v>
      </c>
      <c r="D1803" s="54" t="s">
        <v>2555</v>
      </c>
      <c r="F1803" s="54">
        <v>50</v>
      </c>
    </row>
    <row r="1804" spans="1:6" hidden="1">
      <c r="A1804" s="1655" t="s">
        <v>5641</v>
      </c>
      <c r="B1804" s="1649" t="s">
        <v>5629</v>
      </c>
      <c r="C1804" s="1655" t="s">
        <v>5642</v>
      </c>
      <c r="D1804" s="54" t="s">
        <v>2555</v>
      </c>
      <c r="F1804" s="54">
        <v>50</v>
      </c>
    </row>
    <row r="1805" spans="1:6" hidden="1">
      <c r="A1805" s="1655" t="s">
        <v>5643</v>
      </c>
      <c r="B1805" s="1649" t="s">
        <v>5629</v>
      </c>
      <c r="C1805" s="1655" t="s">
        <v>5644</v>
      </c>
      <c r="D1805" s="54" t="s">
        <v>2555</v>
      </c>
      <c r="F1805" s="54">
        <v>50</v>
      </c>
    </row>
    <row r="1806" spans="1:6" hidden="1">
      <c r="A1806" s="1655" t="s">
        <v>5645</v>
      </c>
      <c r="B1806" s="1649" t="s">
        <v>5629</v>
      </c>
      <c r="C1806" s="1655" t="s">
        <v>5646</v>
      </c>
      <c r="D1806" s="54" t="s">
        <v>2555</v>
      </c>
      <c r="F1806" s="54">
        <v>50</v>
      </c>
    </row>
    <row r="1807" spans="1:6" hidden="1">
      <c r="A1807" s="1655" t="s">
        <v>5647</v>
      </c>
      <c r="B1807" s="1649" t="s">
        <v>5629</v>
      </c>
      <c r="C1807" s="1655" t="s">
        <v>5648</v>
      </c>
      <c r="D1807" s="54" t="s">
        <v>2555</v>
      </c>
      <c r="F1807" s="54">
        <v>50</v>
      </c>
    </row>
    <row r="1808" spans="1:6" hidden="1">
      <c r="A1808" s="1655" t="s">
        <v>5649</v>
      </c>
      <c r="B1808" s="1649" t="s">
        <v>5629</v>
      </c>
      <c r="C1808" s="1655" t="s">
        <v>5642</v>
      </c>
      <c r="D1808" s="54" t="s">
        <v>2555</v>
      </c>
      <c r="F1808" s="54">
        <v>50</v>
      </c>
    </row>
    <row r="1809" spans="1:6" hidden="1">
      <c r="A1809" s="1655" t="s">
        <v>5650</v>
      </c>
      <c r="B1809" s="1649" t="s">
        <v>5651</v>
      </c>
      <c r="C1809" s="1655" t="s">
        <v>5652</v>
      </c>
      <c r="D1809" s="54" t="s">
        <v>2555</v>
      </c>
      <c r="F1809" s="54">
        <v>50</v>
      </c>
    </row>
    <row r="1810" spans="1:6" hidden="1">
      <c r="A1810" s="1655" t="s">
        <v>5653</v>
      </c>
      <c r="B1810" s="1649" t="s">
        <v>5629</v>
      </c>
      <c r="C1810" s="1655" t="s">
        <v>5654</v>
      </c>
      <c r="D1810" s="54" t="s">
        <v>2555</v>
      </c>
      <c r="F1810" s="54">
        <v>50</v>
      </c>
    </row>
    <row r="1811" spans="1:6" hidden="1">
      <c r="A1811" s="1655" t="s">
        <v>6433</v>
      </c>
      <c r="B1811" s="1649" t="s">
        <v>5629</v>
      </c>
      <c r="C1811" s="1655" t="s">
        <v>6434</v>
      </c>
      <c r="D1811" s="54" t="s">
        <v>2439</v>
      </c>
      <c r="F1811" s="54">
        <v>2000</v>
      </c>
    </row>
    <row r="1812" spans="1:6" hidden="1">
      <c r="A1812" s="1655" t="s">
        <v>5656</v>
      </c>
      <c r="B1812" s="1649" t="s">
        <v>5629</v>
      </c>
      <c r="C1812" s="1655" t="s">
        <v>5657</v>
      </c>
      <c r="D1812" s="54" t="s">
        <v>2555</v>
      </c>
      <c r="F1812" s="54" t="s">
        <v>4392</v>
      </c>
    </row>
    <row r="1813" spans="1:6" hidden="1">
      <c r="A1813" s="1655" t="s">
        <v>5658</v>
      </c>
      <c r="B1813" s="1649" t="s">
        <v>58</v>
      </c>
      <c r="C1813" s="1655" t="s">
        <v>5659</v>
      </c>
      <c r="D1813" s="54" t="s">
        <v>2555</v>
      </c>
      <c r="F1813" s="54" t="s">
        <v>4392</v>
      </c>
    </row>
    <row r="1814" spans="1:6" hidden="1">
      <c r="A1814" s="1655" t="s">
        <v>5660</v>
      </c>
      <c r="C1814" s="1655" t="s">
        <v>5661</v>
      </c>
      <c r="D1814" s="54" t="s">
        <v>2555</v>
      </c>
      <c r="F1814" s="54" t="s">
        <v>4392</v>
      </c>
    </row>
    <row r="1815" spans="1:6" hidden="1">
      <c r="A1815" s="1655" t="s">
        <v>5662</v>
      </c>
      <c r="C1815" s="1655" t="s">
        <v>5663</v>
      </c>
      <c r="D1815" s="54" t="s">
        <v>2555</v>
      </c>
      <c r="F1815" s="54" t="s">
        <v>4392</v>
      </c>
    </row>
    <row r="1816" spans="1:6" hidden="1">
      <c r="A1816" s="1655" t="s">
        <v>5664</v>
      </c>
      <c r="C1816" s="1655" t="s">
        <v>5665</v>
      </c>
      <c r="D1816" s="54" t="s">
        <v>2555</v>
      </c>
      <c r="F1816" s="54" t="s">
        <v>4392</v>
      </c>
    </row>
    <row r="1817" spans="1:6" hidden="1">
      <c r="A1817" s="1655" t="s">
        <v>5666</v>
      </c>
      <c r="C1817" s="1655" t="s">
        <v>5667</v>
      </c>
      <c r="D1817" s="54" t="s">
        <v>2555</v>
      </c>
      <c r="F1817" s="54" t="s">
        <v>4392</v>
      </c>
    </row>
    <row r="1818" spans="1:6" hidden="1">
      <c r="A1818" s="1655" t="s">
        <v>5668</v>
      </c>
      <c r="C1818" s="1655" t="s">
        <v>5669</v>
      </c>
      <c r="D1818" s="54" t="s">
        <v>2555</v>
      </c>
      <c r="F1818" s="54" t="s">
        <v>4392</v>
      </c>
    </row>
    <row r="1819" spans="1:6" hidden="1">
      <c r="A1819" s="1655" t="s">
        <v>5670</v>
      </c>
      <c r="C1819" s="1655" t="s">
        <v>5671</v>
      </c>
      <c r="D1819" s="54" t="s">
        <v>2555</v>
      </c>
      <c r="F1819" s="54" t="s">
        <v>4392</v>
      </c>
    </row>
    <row r="1820" spans="1:6" hidden="1">
      <c r="A1820" s="1655" t="s">
        <v>5673</v>
      </c>
      <c r="C1820" s="1655" t="s">
        <v>5674</v>
      </c>
      <c r="D1820" s="54" t="s">
        <v>2555</v>
      </c>
      <c r="F1820" s="54" t="s">
        <v>4392</v>
      </c>
    </row>
    <row r="1821" spans="1:6" hidden="1">
      <c r="A1821" s="1655" t="s">
        <v>5679</v>
      </c>
      <c r="C1821" s="1655" t="s">
        <v>5680</v>
      </c>
      <c r="D1821" s="54" t="s">
        <v>2555</v>
      </c>
      <c r="F1821" s="54" t="s">
        <v>4392</v>
      </c>
    </row>
    <row r="1822" spans="1:6" hidden="1">
      <c r="A1822" s="1655" t="s">
        <v>5687</v>
      </c>
      <c r="B1822" s="1649" t="s">
        <v>5684</v>
      </c>
      <c r="C1822" s="1655" t="s">
        <v>5688</v>
      </c>
      <c r="D1822" s="54" t="s">
        <v>2555</v>
      </c>
      <c r="F1822" s="54">
        <v>2</v>
      </c>
    </row>
    <row r="1823" spans="1:6" hidden="1">
      <c r="A1823" s="1655" t="s">
        <v>5689</v>
      </c>
      <c r="C1823" s="1655" t="s">
        <v>5690</v>
      </c>
      <c r="D1823" s="54" t="s">
        <v>2555</v>
      </c>
      <c r="F1823" s="54" t="s">
        <v>4392</v>
      </c>
    </row>
    <row r="1824" spans="1:6">
      <c r="A1824" s="1655" t="s">
        <v>5691</v>
      </c>
      <c r="C1824" s="1655" t="s">
        <v>5692</v>
      </c>
      <c r="D1824" s="54" t="s">
        <v>2555</v>
      </c>
      <c r="F1824" s="54" t="s">
        <v>4392</v>
      </c>
    </row>
    <row r="1825" spans="1:6" hidden="1">
      <c r="A1825" s="1655" t="s">
        <v>6459</v>
      </c>
      <c r="C1825" s="1655" t="s">
        <v>5694</v>
      </c>
      <c r="D1825" s="54" t="s">
        <v>3444</v>
      </c>
      <c r="F1825" s="54">
        <v>50</v>
      </c>
    </row>
    <row r="1826" spans="1:6" hidden="1">
      <c r="A1826" s="1655" t="s">
        <v>5695</v>
      </c>
      <c r="C1826" s="1655" t="s">
        <v>5696</v>
      </c>
      <c r="D1826" s="54" t="s">
        <v>2555</v>
      </c>
      <c r="F1826" s="54">
        <v>50</v>
      </c>
    </row>
    <row r="1827" spans="1:6" hidden="1">
      <c r="A1827" s="1655" t="s">
        <v>5697</v>
      </c>
      <c r="C1827" s="1655" t="s">
        <v>5698</v>
      </c>
      <c r="D1827" s="54" t="s">
        <v>2555</v>
      </c>
      <c r="F1827" s="54" t="s">
        <v>4392</v>
      </c>
    </row>
    <row r="1828" spans="1:6" hidden="1">
      <c r="A1828" s="1655" t="s">
        <v>5699</v>
      </c>
      <c r="C1828" s="1655" t="s">
        <v>5698</v>
      </c>
      <c r="D1828" s="54" t="s">
        <v>2555</v>
      </c>
      <c r="F1828" s="54" t="s">
        <v>4392</v>
      </c>
    </row>
    <row r="1829" spans="1:6" hidden="1">
      <c r="A1829" s="1655" t="s">
        <v>5700</v>
      </c>
      <c r="C1829" s="1655" t="s">
        <v>4536</v>
      </c>
      <c r="D1829" s="54" t="s">
        <v>3444</v>
      </c>
      <c r="F1829" s="54">
        <v>50</v>
      </c>
    </row>
    <row r="1830" spans="1:6" hidden="1">
      <c r="A1830" s="1655" t="s">
        <v>5701</v>
      </c>
      <c r="C1830" s="1655" t="s">
        <v>5702</v>
      </c>
      <c r="D1830" s="54" t="s">
        <v>2555</v>
      </c>
      <c r="F1830" s="54">
        <v>50</v>
      </c>
    </row>
    <row r="1831" spans="1:6" hidden="1">
      <c r="A1831" s="1655" t="s">
        <v>5703</v>
      </c>
      <c r="C1831" s="1655" t="s">
        <v>5704</v>
      </c>
      <c r="D1831" s="54" t="s">
        <v>2555</v>
      </c>
      <c r="F1831" s="54">
        <v>50</v>
      </c>
    </row>
    <row r="1832" spans="1:6" hidden="1">
      <c r="A1832" s="1655" t="s">
        <v>5706</v>
      </c>
      <c r="C1832" s="1655" t="s">
        <v>5707</v>
      </c>
      <c r="D1832" s="54" t="s">
        <v>2555</v>
      </c>
      <c r="F1832" s="54" t="s">
        <v>4392</v>
      </c>
    </row>
    <row r="1833" spans="1:6" hidden="1">
      <c r="A1833" s="1655" t="s">
        <v>1041</v>
      </c>
      <c r="C1833" s="1655" t="s">
        <v>5713</v>
      </c>
      <c r="D1833" s="54" t="s">
        <v>3456</v>
      </c>
      <c r="F1833" s="54" t="s">
        <v>4392</v>
      </c>
    </row>
    <row r="1834" spans="1:6" hidden="1">
      <c r="A1834" s="1655" t="s">
        <v>5714</v>
      </c>
      <c r="C1834" s="1655" t="s">
        <v>5715</v>
      </c>
      <c r="D1834" s="54" t="s">
        <v>3456</v>
      </c>
      <c r="F1834" s="54" t="s">
        <v>4392</v>
      </c>
    </row>
    <row r="1835" spans="1:6" hidden="1">
      <c r="A1835" s="1655" t="s">
        <v>5716</v>
      </c>
      <c r="B1835" s="1649" t="s">
        <v>5422</v>
      </c>
      <c r="C1835" s="1655" t="s">
        <v>5717</v>
      </c>
      <c r="D1835" s="54" t="s">
        <v>3456</v>
      </c>
      <c r="F1835" s="54" t="s">
        <v>4392</v>
      </c>
    </row>
    <row r="1836" spans="1:6">
      <c r="A1836" s="1655" t="s">
        <v>5718</v>
      </c>
      <c r="B1836" s="1649" t="s">
        <v>691</v>
      </c>
      <c r="C1836" s="1655" t="s">
        <v>5719</v>
      </c>
      <c r="D1836" s="54" t="s">
        <v>3456</v>
      </c>
      <c r="F1836" s="54" t="s">
        <v>4392</v>
      </c>
    </row>
    <row r="1837" spans="1:6" hidden="1">
      <c r="A1837" s="1655" t="s">
        <v>5730</v>
      </c>
      <c r="B1837" s="1649" t="s">
        <v>5720</v>
      </c>
      <c r="C1837" s="1655" t="s">
        <v>5731</v>
      </c>
      <c r="D1837" s="54" t="s">
        <v>2555</v>
      </c>
      <c r="F1837" s="54">
        <v>50</v>
      </c>
    </row>
    <row r="1838" spans="1:6" hidden="1">
      <c r="A1838" s="1655" t="s">
        <v>5732</v>
      </c>
      <c r="B1838" s="1649" t="s">
        <v>5720</v>
      </c>
      <c r="C1838" s="1655" t="s">
        <v>5733</v>
      </c>
      <c r="D1838" s="54" t="s">
        <v>2555</v>
      </c>
      <c r="F1838" s="54" t="s">
        <v>4392</v>
      </c>
    </row>
    <row r="1839" spans="1:6" hidden="1">
      <c r="A1839" s="1655" t="s">
        <v>5734</v>
      </c>
      <c r="B1839" s="1649" t="s">
        <v>5721</v>
      </c>
      <c r="C1839" s="1655" t="s">
        <v>3476</v>
      </c>
      <c r="D1839" s="54" t="s">
        <v>2555</v>
      </c>
      <c r="F1839" s="54" t="s">
        <v>4392</v>
      </c>
    </row>
    <row r="1840" spans="1:6" hidden="1">
      <c r="A1840" s="1655" t="s">
        <v>5735</v>
      </c>
      <c r="B1840" s="1649" t="s">
        <v>5721</v>
      </c>
      <c r="C1840" s="1655" t="s">
        <v>3477</v>
      </c>
      <c r="D1840" s="54" t="s">
        <v>2555</v>
      </c>
      <c r="F1840" s="54" t="s">
        <v>4392</v>
      </c>
    </row>
    <row r="1841" spans="1:6" hidden="1">
      <c r="A1841" s="1655" t="s">
        <v>5736</v>
      </c>
      <c r="B1841" s="1649" t="s">
        <v>5721</v>
      </c>
      <c r="C1841" s="1655" t="s">
        <v>3478</v>
      </c>
      <c r="D1841" s="54" t="s">
        <v>2555</v>
      </c>
      <c r="F1841" s="54" t="s">
        <v>4392</v>
      </c>
    </row>
    <row r="1842" spans="1:6" hidden="1">
      <c r="A1842" s="1655" t="s">
        <v>5737</v>
      </c>
      <c r="B1842" s="1649" t="s">
        <v>5722</v>
      </c>
      <c r="C1842" s="1655" t="s">
        <v>3479</v>
      </c>
      <c r="D1842" s="54" t="s">
        <v>2555</v>
      </c>
      <c r="F1842" s="54" t="s">
        <v>4392</v>
      </c>
    </row>
    <row r="1843" spans="1:6" hidden="1">
      <c r="A1843" s="1655" t="s">
        <v>5738</v>
      </c>
      <c r="B1843" s="1649" t="s">
        <v>5723</v>
      </c>
      <c r="C1843" s="1655" t="s">
        <v>3480</v>
      </c>
      <c r="D1843" s="54" t="s">
        <v>2555</v>
      </c>
      <c r="F1843" s="54" t="s">
        <v>4392</v>
      </c>
    </row>
    <row r="1844" spans="1:6" hidden="1">
      <c r="A1844" s="1655" t="s">
        <v>5739</v>
      </c>
      <c r="B1844" s="1649" t="s">
        <v>5724</v>
      </c>
      <c r="C1844" s="1655" t="s">
        <v>3481</v>
      </c>
      <c r="D1844" s="54" t="s">
        <v>2555</v>
      </c>
      <c r="F1844" s="54" t="s">
        <v>4392</v>
      </c>
    </row>
    <row r="1845" spans="1:6" hidden="1">
      <c r="A1845" s="1655" t="s">
        <v>5740</v>
      </c>
      <c r="B1845" s="1649" t="s">
        <v>5725</v>
      </c>
      <c r="C1845" s="1655" t="s">
        <v>3482</v>
      </c>
      <c r="D1845" s="54" t="s">
        <v>2555</v>
      </c>
      <c r="F1845" s="54" t="s">
        <v>4392</v>
      </c>
    </row>
    <row r="1846" spans="1:6" hidden="1">
      <c r="A1846" s="1655" t="s">
        <v>5741</v>
      </c>
      <c r="B1846" s="1649" t="s">
        <v>5726</v>
      </c>
      <c r="C1846" s="1655" t="s">
        <v>3483</v>
      </c>
      <c r="D1846" s="54" t="s">
        <v>2555</v>
      </c>
      <c r="F1846" s="54" t="s">
        <v>4392</v>
      </c>
    </row>
    <row r="1847" spans="1:6" hidden="1">
      <c r="A1847" s="1655" t="s">
        <v>5742</v>
      </c>
      <c r="B1847" s="1649" t="s">
        <v>5727</v>
      </c>
      <c r="C1847" s="1655" t="s">
        <v>3484</v>
      </c>
      <c r="D1847" s="54" t="s">
        <v>2555</v>
      </c>
      <c r="F1847" s="54" t="s">
        <v>4392</v>
      </c>
    </row>
    <row r="1848" spans="1:6" hidden="1">
      <c r="A1848" s="1655" t="s">
        <v>5743</v>
      </c>
      <c r="B1848" s="1649" t="s">
        <v>5727</v>
      </c>
      <c r="C1848" s="1655" t="s">
        <v>3485</v>
      </c>
      <c r="D1848" s="54" t="s">
        <v>2555</v>
      </c>
      <c r="F1848" s="54" t="s">
        <v>4392</v>
      </c>
    </row>
    <row r="1849" spans="1:6" hidden="1">
      <c r="A1849" s="1655" t="s">
        <v>5744</v>
      </c>
      <c r="B1849" s="1649" t="s">
        <v>5727</v>
      </c>
      <c r="C1849" s="1655" t="s">
        <v>3486</v>
      </c>
      <c r="D1849" s="54" t="s">
        <v>2555</v>
      </c>
      <c r="F1849" s="54" t="s">
        <v>4392</v>
      </c>
    </row>
    <row r="1850" spans="1:6" hidden="1">
      <c r="A1850" s="1655" t="s">
        <v>5745</v>
      </c>
      <c r="B1850" s="1649" t="s">
        <v>5728</v>
      </c>
      <c r="C1850" s="1655" t="s">
        <v>3487</v>
      </c>
      <c r="D1850" s="54" t="s">
        <v>2555</v>
      </c>
      <c r="F1850" s="54" t="s">
        <v>4392</v>
      </c>
    </row>
    <row r="1851" spans="1:6" hidden="1">
      <c r="A1851" s="1655" t="s">
        <v>5746</v>
      </c>
      <c r="B1851" s="1649" t="s">
        <v>5728</v>
      </c>
      <c r="C1851" s="1655" t="s">
        <v>5747</v>
      </c>
      <c r="D1851" s="54" t="s">
        <v>2555</v>
      </c>
      <c r="F1851" s="54" t="s">
        <v>4392</v>
      </c>
    </row>
    <row r="1852" spans="1:6" hidden="1">
      <c r="A1852" s="1655" t="s">
        <v>5748</v>
      </c>
      <c r="B1852" s="1649" t="s">
        <v>5721</v>
      </c>
      <c r="C1852" s="1655" t="s">
        <v>5749</v>
      </c>
      <c r="D1852" s="54" t="s">
        <v>2555</v>
      </c>
      <c r="F1852" s="54" t="s">
        <v>4392</v>
      </c>
    </row>
    <row r="1853" spans="1:6" hidden="1">
      <c r="A1853" s="1655" t="s">
        <v>5750</v>
      </c>
      <c r="B1853" s="1649" t="s">
        <v>5722</v>
      </c>
      <c r="C1853" s="1655" t="s">
        <v>5751</v>
      </c>
      <c r="D1853" s="54" t="s">
        <v>2555</v>
      </c>
      <c r="F1853" s="54" t="s">
        <v>4392</v>
      </c>
    </row>
    <row r="1854" spans="1:6" hidden="1">
      <c r="A1854" s="1655" t="s">
        <v>5752</v>
      </c>
      <c r="B1854" s="1649" t="s">
        <v>5728</v>
      </c>
      <c r="C1854" s="1655" t="s">
        <v>5747</v>
      </c>
      <c r="D1854" s="54" t="s">
        <v>2555</v>
      </c>
      <c r="F1854" s="54" t="s">
        <v>4392</v>
      </c>
    </row>
    <row r="1855" spans="1:6" hidden="1">
      <c r="A1855" s="1655" t="s">
        <v>5753</v>
      </c>
      <c r="B1855" s="1649" t="s">
        <v>5720</v>
      </c>
      <c r="C1855" s="1655" t="s">
        <v>5754</v>
      </c>
      <c r="D1855" s="54" t="s">
        <v>2555</v>
      </c>
      <c r="F1855" s="54" t="s">
        <v>4392</v>
      </c>
    </row>
    <row r="1856" spans="1:6" hidden="1">
      <c r="A1856" s="1655" t="s">
        <v>5755</v>
      </c>
      <c r="B1856" s="1649" t="s">
        <v>5721</v>
      </c>
      <c r="C1856" s="1655" t="s">
        <v>5756</v>
      </c>
      <c r="D1856" s="54" t="s">
        <v>2555</v>
      </c>
      <c r="F1856" s="54" t="s">
        <v>4392</v>
      </c>
    </row>
    <row r="1857" spans="1:6" hidden="1">
      <c r="A1857" s="1655" t="s">
        <v>5757</v>
      </c>
      <c r="B1857" s="1649" t="s">
        <v>5722</v>
      </c>
      <c r="C1857" s="1655" t="s">
        <v>5758</v>
      </c>
      <c r="D1857" s="54" t="s">
        <v>2555</v>
      </c>
      <c r="F1857" s="54" t="s">
        <v>4392</v>
      </c>
    </row>
    <row r="1858" spans="1:6" hidden="1">
      <c r="A1858" s="1655" t="s">
        <v>5759</v>
      </c>
      <c r="B1858" s="1649" t="s">
        <v>5723</v>
      </c>
      <c r="C1858" s="1655" t="s">
        <v>5760</v>
      </c>
      <c r="D1858" s="54" t="s">
        <v>2555</v>
      </c>
      <c r="F1858" s="54" t="s">
        <v>4392</v>
      </c>
    </row>
    <row r="1859" spans="1:6" hidden="1">
      <c r="A1859" s="1655" t="s">
        <v>5761</v>
      </c>
      <c r="B1859" s="1649" t="s">
        <v>5724</v>
      </c>
      <c r="C1859" s="1655" t="s">
        <v>5762</v>
      </c>
      <c r="D1859" s="54" t="s">
        <v>2555</v>
      </c>
      <c r="F1859" s="54" t="s">
        <v>4392</v>
      </c>
    </row>
    <row r="1860" spans="1:6" hidden="1">
      <c r="A1860" s="1655" t="s">
        <v>5763</v>
      </c>
      <c r="B1860" s="1649" t="s">
        <v>5725</v>
      </c>
      <c r="C1860" s="1655" t="s">
        <v>5764</v>
      </c>
      <c r="D1860" s="54" t="s">
        <v>2555</v>
      </c>
      <c r="F1860" s="54" t="s">
        <v>4392</v>
      </c>
    </row>
    <row r="1861" spans="1:6" hidden="1">
      <c r="A1861" s="1655" t="s">
        <v>5765</v>
      </c>
      <c r="B1861" s="1649" t="s">
        <v>5726</v>
      </c>
      <c r="C1861" s="1655" t="s">
        <v>5766</v>
      </c>
      <c r="D1861" s="54" t="s">
        <v>2555</v>
      </c>
      <c r="F1861" s="54" t="s">
        <v>4392</v>
      </c>
    </row>
    <row r="1862" spans="1:6" hidden="1">
      <c r="A1862" s="1655" t="s">
        <v>5767</v>
      </c>
      <c r="B1862" s="1649" t="s">
        <v>5727</v>
      </c>
      <c r="C1862" s="1655" t="s">
        <v>5768</v>
      </c>
      <c r="D1862" s="54" t="s">
        <v>2555</v>
      </c>
      <c r="F1862" s="54" t="s">
        <v>4392</v>
      </c>
    </row>
    <row r="1863" spans="1:6" hidden="1">
      <c r="A1863" s="1655" t="s">
        <v>5769</v>
      </c>
      <c r="B1863" s="1649" t="s">
        <v>5727</v>
      </c>
      <c r="C1863" s="1655" t="s">
        <v>5770</v>
      </c>
      <c r="D1863" s="54" t="s">
        <v>2555</v>
      </c>
      <c r="F1863" s="54" t="s">
        <v>4392</v>
      </c>
    </row>
    <row r="1864" spans="1:6" hidden="1">
      <c r="A1864" s="1655" t="s">
        <v>5771</v>
      </c>
      <c r="B1864" s="1649" t="s">
        <v>5727</v>
      </c>
      <c r="C1864" s="1655" t="s">
        <v>5772</v>
      </c>
      <c r="D1864" s="54" t="s">
        <v>2555</v>
      </c>
      <c r="F1864" s="54" t="s">
        <v>4392</v>
      </c>
    </row>
    <row r="1865" spans="1:6" hidden="1">
      <c r="A1865" s="1655" t="s">
        <v>5773</v>
      </c>
      <c r="B1865" s="1649" t="s">
        <v>5728</v>
      </c>
      <c r="C1865" s="1655" t="s">
        <v>5774</v>
      </c>
      <c r="D1865" s="54" t="s">
        <v>2555</v>
      </c>
      <c r="F1865" s="54" t="s">
        <v>4392</v>
      </c>
    </row>
    <row r="1866" spans="1:6" hidden="1">
      <c r="A1866" s="1655" t="s">
        <v>5775</v>
      </c>
      <c r="B1866" s="1649" t="s">
        <v>5729</v>
      </c>
      <c r="C1866" s="1655" t="s">
        <v>5776</v>
      </c>
      <c r="D1866" s="54" t="s">
        <v>2555</v>
      </c>
      <c r="F1866" s="54" t="s">
        <v>4392</v>
      </c>
    </row>
    <row r="1867" spans="1:6" hidden="1">
      <c r="A1867" s="1655" t="s">
        <v>5777</v>
      </c>
      <c r="C1867" s="1655" t="s">
        <v>5778</v>
      </c>
      <c r="D1867" s="54" t="s">
        <v>1823</v>
      </c>
      <c r="F1867" s="54" t="s">
        <v>4392</v>
      </c>
    </row>
    <row r="1868" spans="1:6" hidden="1">
      <c r="A1868" s="1655" t="s">
        <v>5779</v>
      </c>
      <c r="C1868" s="1655" t="s">
        <v>5780</v>
      </c>
      <c r="D1868" s="54" t="s">
        <v>1823</v>
      </c>
      <c r="F1868" s="54" t="s">
        <v>4392</v>
      </c>
    </row>
    <row r="1869" spans="1:6" hidden="1">
      <c r="A1869" s="1655" t="s">
        <v>5781</v>
      </c>
      <c r="C1869" s="1655" t="s">
        <v>5782</v>
      </c>
      <c r="D1869" s="54" t="s">
        <v>1823</v>
      </c>
      <c r="F1869" s="54" t="s">
        <v>4392</v>
      </c>
    </row>
    <row r="1870" spans="1:6" hidden="1">
      <c r="A1870" s="1655" t="s">
        <v>5783</v>
      </c>
      <c r="C1870" s="1655" t="s">
        <v>5784</v>
      </c>
      <c r="D1870" s="54" t="s">
        <v>1823</v>
      </c>
      <c r="F1870" s="54" t="s">
        <v>4392</v>
      </c>
    </row>
    <row r="1871" spans="1:6" hidden="1">
      <c r="A1871" s="1655" t="s">
        <v>5785</v>
      </c>
      <c r="C1871" s="1655" t="s">
        <v>5786</v>
      </c>
      <c r="D1871" s="54" t="s">
        <v>1823</v>
      </c>
      <c r="F1871" s="54" t="s">
        <v>4392</v>
      </c>
    </row>
    <row r="1872" spans="1:6" hidden="1">
      <c r="A1872" s="1655" t="s">
        <v>5787</v>
      </c>
      <c r="C1872" s="1655" t="s">
        <v>5788</v>
      </c>
      <c r="D1872" s="54" t="s">
        <v>1823</v>
      </c>
      <c r="F1872" s="54" t="s">
        <v>4392</v>
      </c>
    </row>
    <row r="1873" spans="1:6" hidden="1">
      <c r="A1873" s="1655" t="s">
        <v>5789</v>
      </c>
      <c r="C1873" s="1655" t="s">
        <v>5790</v>
      </c>
      <c r="D1873" s="54" t="s">
        <v>1823</v>
      </c>
      <c r="F1873" s="54" t="s">
        <v>4392</v>
      </c>
    </row>
    <row r="1874" spans="1:6" hidden="1">
      <c r="A1874" s="1655" t="s">
        <v>5796</v>
      </c>
      <c r="C1874" s="1655" t="s">
        <v>4975</v>
      </c>
      <c r="D1874" s="54" t="s">
        <v>3565</v>
      </c>
      <c r="F1874" s="54">
        <v>50</v>
      </c>
    </row>
    <row r="1875" spans="1:6" hidden="1">
      <c r="A1875" s="1655" t="s">
        <v>5798</v>
      </c>
      <c r="C1875" s="1655" t="s">
        <v>5799</v>
      </c>
      <c r="D1875" s="54" t="s">
        <v>2555</v>
      </c>
      <c r="F1875" s="54" t="s">
        <v>4392</v>
      </c>
    </row>
    <row r="1876" spans="1:6" hidden="1">
      <c r="A1876" s="1655" t="s">
        <v>5800</v>
      </c>
      <c r="C1876" s="1655" t="s">
        <v>5801</v>
      </c>
      <c r="D1876" s="54" t="s">
        <v>2555</v>
      </c>
      <c r="F1876" s="54" t="s">
        <v>4392</v>
      </c>
    </row>
    <row r="1877" spans="1:6" hidden="1">
      <c r="A1877" s="1655" t="s">
        <v>5803</v>
      </c>
      <c r="C1877" s="1655" t="s">
        <v>5804</v>
      </c>
      <c r="D1877" s="54" t="s">
        <v>2555</v>
      </c>
      <c r="F1877" s="54" t="s">
        <v>4392</v>
      </c>
    </row>
    <row r="1878" spans="1:6" hidden="1">
      <c r="A1878" s="1655" t="s">
        <v>5805</v>
      </c>
      <c r="C1878" s="1655" t="s">
        <v>5806</v>
      </c>
      <c r="D1878" s="54" t="s">
        <v>2555</v>
      </c>
      <c r="F1878" s="54">
        <v>50</v>
      </c>
    </row>
    <row r="1879" spans="1:6" hidden="1">
      <c r="A1879" s="1655" t="s">
        <v>5807</v>
      </c>
      <c r="C1879" s="1655" t="s">
        <v>5808</v>
      </c>
      <c r="D1879" s="54" t="s">
        <v>2555</v>
      </c>
      <c r="F1879" s="54" t="s">
        <v>4392</v>
      </c>
    </row>
    <row r="1880" spans="1:6" hidden="1">
      <c r="A1880" s="1655" t="s">
        <v>5809</v>
      </c>
      <c r="C1880" s="1655" t="s">
        <v>5810</v>
      </c>
      <c r="D1880" s="54" t="s">
        <v>2555</v>
      </c>
      <c r="F1880" s="54">
        <v>50</v>
      </c>
    </row>
    <row r="1881" spans="1:6" hidden="1">
      <c r="A1881" s="1655" t="s">
        <v>6461</v>
      </c>
      <c r="C1881" s="1655" t="s">
        <v>6462</v>
      </c>
      <c r="D1881" s="54" t="s">
        <v>2555</v>
      </c>
      <c r="F1881" s="54">
        <v>50</v>
      </c>
    </row>
    <row r="1882" spans="1:6" hidden="1">
      <c r="A1882" s="1655" t="s">
        <v>5811</v>
      </c>
      <c r="C1882" s="1655" t="s">
        <v>5812</v>
      </c>
      <c r="D1882" s="54" t="s">
        <v>4646</v>
      </c>
      <c r="F1882" s="54" t="s">
        <v>4392</v>
      </c>
    </row>
    <row r="1883" spans="1:6" hidden="1">
      <c r="A1883" s="1655" t="s">
        <v>5813</v>
      </c>
      <c r="C1883" s="1655" t="s">
        <v>5814</v>
      </c>
      <c r="D1883" s="54" t="s">
        <v>4646</v>
      </c>
      <c r="F1883" s="54" t="s">
        <v>4392</v>
      </c>
    </row>
    <row r="1884" spans="1:6" hidden="1">
      <c r="A1884" s="1655" t="s">
        <v>5815</v>
      </c>
      <c r="C1884" s="1655" t="s">
        <v>5816</v>
      </c>
      <c r="D1884" s="54" t="s">
        <v>4646</v>
      </c>
      <c r="F1884" s="54" t="s">
        <v>4392</v>
      </c>
    </row>
    <row r="1885" spans="1:6">
      <c r="A1885" s="1655" t="s">
        <v>5817</v>
      </c>
      <c r="C1885" s="1655" t="s">
        <v>5818</v>
      </c>
      <c r="D1885" s="54" t="s">
        <v>4646</v>
      </c>
      <c r="F1885" s="54" t="s">
        <v>4392</v>
      </c>
    </row>
    <row r="1886" spans="1:6">
      <c r="A1886" s="1655" t="s">
        <v>5819</v>
      </c>
      <c r="C1886" s="1655" t="s">
        <v>5820</v>
      </c>
      <c r="D1886" s="54" t="s">
        <v>4646</v>
      </c>
      <c r="F1886" s="54" t="s">
        <v>4392</v>
      </c>
    </row>
    <row r="1887" spans="1:6">
      <c r="A1887" s="1655" t="s">
        <v>5821</v>
      </c>
      <c r="C1887" s="1655" t="s">
        <v>5822</v>
      </c>
      <c r="D1887" s="54" t="s">
        <v>4646</v>
      </c>
      <c r="F1887" s="54" t="s">
        <v>4392</v>
      </c>
    </row>
    <row r="1888" spans="1:6">
      <c r="A1888" s="1655" t="s">
        <v>5823</v>
      </c>
      <c r="C1888" s="1655" t="s">
        <v>5824</v>
      </c>
      <c r="D1888" s="54" t="s">
        <v>4646</v>
      </c>
      <c r="F1888" s="54" t="s">
        <v>4392</v>
      </c>
    </row>
    <row r="1889" spans="1:6">
      <c r="A1889" s="1655" t="s">
        <v>5825</v>
      </c>
      <c r="C1889" s="1655" t="s">
        <v>5826</v>
      </c>
      <c r="D1889" s="54" t="s">
        <v>4646</v>
      </c>
      <c r="F1889" s="54" t="s">
        <v>4392</v>
      </c>
    </row>
    <row r="1890" spans="1:6">
      <c r="A1890" s="1655" t="s">
        <v>5827</v>
      </c>
      <c r="C1890" s="1655" t="s">
        <v>5828</v>
      </c>
      <c r="D1890" s="54" t="s">
        <v>4646</v>
      </c>
      <c r="F1890" s="54" t="s">
        <v>4392</v>
      </c>
    </row>
    <row r="1891" spans="1:6">
      <c r="A1891" s="1655" t="s">
        <v>5829</v>
      </c>
      <c r="C1891" s="1655" t="s">
        <v>5830</v>
      </c>
      <c r="D1891" s="54" t="s">
        <v>4646</v>
      </c>
      <c r="F1891" s="54" t="s">
        <v>4392</v>
      </c>
    </row>
    <row r="1892" spans="1:6" hidden="1">
      <c r="A1892" s="1655" t="s">
        <v>5831</v>
      </c>
      <c r="C1892" s="1655" t="s">
        <v>5832</v>
      </c>
      <c r="D1892" s="54" t="s">
        <v>2248</v>
      </c>
      <c r="F1892" s="54" t="s">
        <v>4392</v>
      </c>
    </row>
    <row r="1893" spans="1:6" hidden="1">
      <c r="A1893" s="1655" t="s">
        <v>5835</v>
      </c>
      <c r="C1893" s="1655" t="s">
        <v>5836</v>
      </c>
      <c r="D1893" s="54" t="s">
        <v>2248</v>
      </c>
      <c r="F1893" s="54" t="s">
        <v>4392</v>
      </c>
    </row>
    <row r="1894" spans="1:6" hidden="1">
      <c r="A1894" s="1655" t="s">
        <v>5837</v>
      </c>
      <c r="C1894" s="1655" t="s">
        <v>5838</v>
      </c>
      <c r="D1894" s="54" t="s">
        <v>2248</v>
      </c>
      <c r="F1894" s="54" t="s">
        <v>4392</v>
      </c>
    </row>
    <row r="1895" spans="1:6">
      <c r="A1895" s="1655" t="s">
        <v>5839</v>
      </c>
      <c r="C1895" s="1655" t="s">
        <v>5840</v>
      </c>
      <c r="D1895" s="54" t="s">
        <v>2248</v>
      </c>
      <c r="F1895" s="54" t="s">
        <v>4392</v>
      </c>
    </row>
    <row r="1896" spans="1:6" hidden="1">
      <c r="A1896" s="1655" t="s">
        <v>5841</v>
      </c>
      <c r="C1896" s="1655" t="s">
        <v>5842</v>
      </c>
      <c r="D1896" s="54" t="s">
        <v>2248</v>
      </c>
      <c r="F1896" s="54" t="s">
        <v>4392</v>
      </c>
    </row>
    <row r="1897" spans="1:6" hidden="1">
      <c r="A1897" s="1655" t="s">
        <v>5843</v>
      </c>
      <c r="C1897" s="1655" t="s">
        <v>5844</v>
      </c>
      <c r="D1897" s="54" t="s">
        <v>2248</v>
      </c>
      <c r="F1897" s="54" t="s">
        <v>4392</v>
      </c>
    </row>
    <row r="1898" spans="1:6">
      <c r="A1898" s="1655" t="s">
        <v>5845</v>
      </c>
      <c r="C1898" s="1655" t="s">
        <v>5846</v>
      </c>
      <c r="D1898" s="54" t="s">
        <v>2248</v>
      </c>
      <c r="F1898" s="54" t="s">
        <v>4392</v>
      </c>
    </row>
    <row r="1899" spans="1:6">
      <c r="A1899" s="1655" t="s">
        <v>5847</v>
      </c>
      <c r="C1899" s="1655" t="s">
        <v>5848</v>
      </c>
      <c r="D1899" s="54" t="s">
        <v>2248</v>
      </c>
      <c r="F1899" s="54" t="s">
        <v>4392</v>
      </c>
    </row>
    <row r="1900" spans="1:6" hidden="1">
      <c r="A1900" s="1655" t="s">
        <v>5849</v>
      </c>
      <c r="C1900" s="1655" t="s">
        <v>5850</v>
      </c>
      <c r="D1900" s="54" t="s">
        <v>2248</v>
      </c>
      <c r="F1900" s="54" t="s">
        <v>4392</v>
      </c>
    </row>
    <row r="1901" spans="1:6" hidden="1">
      <c r="A1901" s="1655" t="s">
        <v>5851</v>
      </c>
      <c r="C1901" s="1655" t="s">
        <v>5852</v>
      </c>
      <c r="D1901" s="54" t="s">
        <v>2248</v>
      </c>
      <c r="F1901" s="54" t="s">
        <v>4392</v>
      </c>
    </row>
    <row r="1902" spans="1:6">
      <c r="A1902" s="1655" t="s">
        <v>5853</v>
      </c>
      <c r="C1902" s="1655" t="s">
        <v>5854</v>
      </c>
      <c r="D1902" s="54" t="s">
        <v>2248</v>
      </c>
      <c r="F1902" s="54" t="s">
        <v>4392</v>
      </c>
    </row>
    <row r="1903" spans="1:6" hidden="1">
      <c r="A1903" s="1655" t="s">
        <v>5855</v>
      </c>
      <c r="C1903" s="1655" t="s">
        <v>5856</v>
      </c>
      <c r="D1903" s="54" t="s">
        <v>2248</v>
      </c>
      <c r="F1903" s="54" t="s">
        <v>4392</v>
      </c>
    </row>
    <row r="1904" spans="1:6" hidden="1">
      <c r="A1904" s="1655" t="s">
        <v>5857</v>
      </c>
      <c r="C1904" s="1655" t="s">
        <v>5858</v>
      </c>
      <c r="D1904" s="54" t="s">
        <v>2248</v>
      </c>
      <c r="F1904" s="54" t="s">
        <v>4392</v>
      </c>
    </row>
    <row r="1905" spans="1:6">
      <c r="A1905" s="1655" t="s">
        <v>5859</v>
      </c>
      <c r="C1905" s="1655" t="s">
        <v>5860</v>
      </c>
      <c r="D1905" s="54" t="s">
        <v>2248</v>
      </c>
      <c r="F1905" s="54" t="s">
        <v>4392</v>
      </c>
    </row>
    <row r="1906" spans="1:6" hidden="1">
      <c r="A1906" s="1655" t="s">
        <v>5861</v>
      </c>
      <c r="C1906" s="1655" t="s">
        <v>5862</v>
      </c>
      <c r="D1906" s="54" t="s">
        <v>2248</v>
      </c>
      <c r="F1906" s="54" t="s">
        <v>4392</v>
      </c>
    </row>
    <row r="1907" spans="1:6" hidden="1">
      <c r="A1907" s="1655" t="s">
        <v>5863</v>
      </c>
      <c r="C1907" s="1655" t="s">
        <v>5864</v>
      </c>
      <c r="D1907" s="54" t="s">
        <v>2248</v>
      </c>
      <c r="F1907" s="54" t="s">
        <v>4392</v>
      </c>
    </row>
    <row r="1908" spans="1:6" hidden="1">
      <c r="A1908" s="1655" t="s">
        <v>5866</v>
      </c>
      <c r="C1908" s="1655" t="s">
        <v>5867</v>
      </c>
      <c r="D1908" s="54" t="s">
        <v>2555</v>
      </c>
      <c r="F1908" s="54" t="s">
        <v>4392</v>
      </c>
    </row>
    <row r="1909" spans="1:6" hidden="1">
      <c r="A1909" s="1655" t="s">
        <v>5868</v>
      </c>
      <c r="C1909" s="1655" t="s">
        <v>5869</v>
      </c>
      <c r="D1909" s="54" t="s">
        <v>2555</v>
      </c>
      <c r="F1909" s="54" t="s">
        <v>4392</v>
      </c>
    </row>
    <row r="1910" spans="1:6" hidden="1">
      <c r="A1910" s="1655" t="s">
        <v>5870</v>
      </c>
      <c r="C1910" s="1655" t="s">
        <v>5871</v>
      </c>
      <c r="D1910" s="54" t="s">
        <v>2555</v>
      </c>
      <c r="F1910" s="54" t="s">
        <v>4392</v>
      </c>
    </row>
    <row r="1911" spans="1:6" hidden="1">
      <c r="A1911" s="1655" t="s">
        <v>5872</v>
      </c>
      <c r="C1911" s="1655" t="s">
        <v>5873</v>
      </c>
      <c r="D1911" s="54" t="s">
        <v>2555</v>
      </c>
      <c r="F1911" s="54" t="s">
        <v>4392</v>
      </c>
    </row>
    <row r="1912" spans="1:6" hidden="1">
      <c r="A1912" s="1655" t="s">
        <v>5874</v>
      </c>
      <c r="C1912" s="1655" t="s">
        <v>5875</v>
      </c>
      <c r="D1912" s="54" t="s">
        <v>2555</v>
      </c>
      <c r="F1912" s="54" t="s">
        <v>4392</v>
      </c>
    </row>
    <row r="1913" spans="1:6" hidden="1">
      <c r="A1913" s="1655" t="s">
        <v>5876</v>
      </c>
      <c r="C1913" s="1655" t="s">
        <v>5877</v>
      </c>
      <c r="D1913" s="54" t="s">
        <v>2555</v>
      </c>
      <c r="F1913" s="54" t="s">
        <v>4392</v>
      </c>
    </row>
    <row r="1914" spans="1:6" hidden="1">
      <c r="A1914" s="1655" t="s">
        <v>5878</v>
      </c>
      <c r="B1914" s="1649" t="s">
        <v>581</v>
      </c>
      <c r="C1914" s="1655" t="s">
        <v>3619</v>
      </c>
      <c r="D1914" s="54" t="s">
        <v>2037</v>
      </c>
      <c r="F1914" s="54" t="s">
        <v>4392</v>
      </c>
    </row>
    <row r="1915" spans="1:6" hidden="1">
      <c r="A1915" s="1655" t="s">
        <v>5879</v>
      </c>
      <c r="B1915" s="1649" t="s">
        <v>773</v>
      </c>
      <c r="C1915" s="1655" t="s">
        <v>3620</v>
      </c>
      <c r="D1915" s="54" t="s">
        <v>2037</v>
      </c>
      <c r="F1915" s="54" t="s">
        <v>4392</v>
      </c>
    </row>
    <row r="1916" spans="1:6" hidden="1">
      <c r="A1916" s="1655" t="s">
        <v>5880</v>
      </c>
      <c r="B1916" s="1649" t="s">
        <v>775</v>
      </c>
      <c r="C1916" s="1655" t="s">
        <v>3621</v>
      </c>
      <c r="D1916" s="54" t="s">
        <v>2037</v>
      </c>
      <c r="F1916" s="54" t="s">
        <v>4392</v>
      </c>
    </row>
    <row r="1917" spans="1:6" hidden="1">
      <c r="A1917" s="1655" t="s">
        <v>5881</v>
      </c>
      <c r="B1917" s="1649" t="s">
        <v>775</v>
      </c>
      <c r="C1917" s="1655" t="s">
        <v>3622</v>
      </c>
      <c r="D1917" s="54" t="s">
        <v>2037</v>
      </c>
      <c r="F1917" s="54" t="s">
        <v>4392</v>
      </c>
    </row>
    <row r="1918" spans="1:6" hidden="1">
      <c r="A1918" s="1655" t="s">
        <v>5882</v>
      </c>
      <c r="B1918" s="1649" t="s">
        <v>775</v>
      </c>
      <c r="C1918" s="1655" t="s">
        <v>3623</v>
      </c>
      <c r="D1918" s="54" t="s">
        <v>2037</v>
      </c>
      <c r="F1918" s="54" t="s">
        <v>4392</v>
      </c>
    </row>
    <row r="1919" spans="1:6" hidden="1">
      <c r="A1919" s="1655" t="s">
        <v>5883</v>
      </c>
      <c r="B1919" s="1649" t="s">
        <v>775</v>
      </c>
      <c r="C1919" s="1655" t="s">
        <v>3624</v>
      </c>
      <c r="D1919" s="54" t="s">
        <v>2037</v>
      </c>
      <c r="F1919" s="54" t="s">
        <v>4392</v>
      </c>
    </row>
    <row r="1920" spans="1:6" hidden="1">
      <c r="A1920" s="1655" t="s">
        <v>5884</v>
      </c>
      <c r="B1920" s="1649" t="s">
        <v>775</v>
      </c>
      <c r="C1920" s="1655" t="s">
        <v>3625</v>
      </c>
      <c r="D1920" s="54" t="s">
        <v>2037</v>
      </c>
      <c r="F1920" s="54" t="s">
        <v>4392</v>
      </c>
    </row>
    <row r="1921" spans="1:6" hidden="1">
      <c r="A1921" s="1655" t="s">
        <v>5885</v>
      </c>
      <c r="C1921" s="1655" t="s">
        <v>5886</v>
      </c>
      <c r="D1921" s="54" t="s">
        <v>2555</v>
      </c>
      <c r="F1921" s="54" t="s">
        <v>4392</v>
      </c>
    </row>
    <row r="1922" spans="1:6" hidden="1">
      <c r="A1922" s="1655">
        <v>3</v>
      </c>
      <c r="B1922" s="1649" t="s">
        <v>5887</v>
      </c>
      <c r="C1922" s="1655">
        <v>9</v>
      </c>
      <c r="D1922" s="54">
        <v>12</v>
      </c>
      <c r="F1922" s="54" t="s">
        <v>4392</v>
      </c>
    </row>
    <row r="1923" spans="1:6" hidden="1">
      <c r="F1923" s="54">
        <v>3000</v>
      </c>
    </row>
    <row r="1924" spans="1:6" hidden="1">
      <c r="A1924" s="1655" t="s">
        <v>5888</v>
      </c>
      <c r="B1924" s="1649" t="s">
        <v>5889</v>
      </c>
      <c r="C1924" s="1655" t="s">
        <v>5890</v>
      </c>
      <c r="D1924" s="54" t="s">
        <v>2555</v>
      </c>
      <c r="F1924" s="54">
        <v>3000</v>
      </c>
    </row>
    <row r="1925" spans="1:6" hidden="1">
      <c r="A1925" s="1655" t="s">
        <v>5891</v>
      </c>
      <c r="B1925" s="1649" t="s">
        <v>5892</v>
      </c>
      <c r="C1925" s="1655" t="s">
        <v>5893</v>
      </c>
      <c r="D1925" s="54" t="s">
        <v>2555</v>
      </c>
      <c r="F1925" s="54" t="s">
        <v>4392</v>
      </c>
    </row>
    <row r="1926" spans="1:6" hidden="1">
      <c r="A1926" s="1655" t="s">
        <v>5894</v>
      </c>
      <c r="B1926" s="1649" t="s">
        <v>5895</v>
      </c>
      <c r="C1926" s="1655" t="s">
        <v>5896</v>
      </c>
      <c r="D1926" s="54" t="s">
        <v>2555</v>
      </c>
      <c r="F1926" s="54" t="s">
        <v>4392</v>
      </c>
    </row>
    <row r="1927" spans="1:6" hidden="1">
      <c r="A1927" s="1655" t="s">
        <v>5897</v>
      </c>
      <c r="B1927" s="1649" t="s">
        <v>5898</v>
      </c>
      <c r="C1927" s="1655" t="s">
        <v>5899</v>
      </c>
      <c r="D1927" s="54" t="s">
        <v>2555</v>
      </c>
      <c r="F1927" s="54" t="s">
        <v>4392</v>
      </c>
    </row>
    <row r="1928" spans="1:6" hidden="1">
      <c r="A1928" s="1655" t="s">
        <v>5900</v>
      </c>
      <c r="B1928" s="1649" t="s">
        <v>5901</v>
      </c>
      <c r="C1928" s="1655" t="s">
        <v>5902</v>
      </c>
      <c r="D1928" s="54" t="s">
        <v>2555</v>
      </c>
      <c r="F1928" s="54" t="s">
        <v>4392</v>
      </c>
    </row>
    <row r="1929" spans="1:6" hidden="1">
      <c r="A1929" s="1655" t="s">
        <v>5903</v>
      </c>
      <c r="B1929" s="1649" t="s">
        <v>5904</v>
      </c>
      <c r="C1929" s="1655" t="s">
        <v>5905</v>
      </c>
      <c r="D1929" s="54" t="s">
        <v>2555</v>
      </c>
      <c r="F1929" s="54" t="s">
        <v>4392</v>
      </c>
    </row>
    <row r="1930" spans="1:6" hidden="1">
      <c r="A1930" s="1655" t="s">
        <v>5906</v>
      </c>
      <c r="B1930" s="1649" t="s">
        <v>5889</v>
      </c>
      <c r="C1930" s="1655" t="s">
        <v>5907</v>
      </c>
      <c r="D1930" s="54" t="s">
        <v>2555</v>
      </c>
      <c r="F1930" s="54">
        <v>3000</v>
      </c>
    </row>
    <row r="1931" spans="1:6" hidden="1">
      <c r="A1931" s="1655" t="s">
        <v>5908</v>
      </c>
      <c r="B1931" s="1649" t="s">
        <v>5892</v>
      </c>
      <c r="C1931" s="1655" t="s">
        <v>5909</v>
      </c>
      <c r="D1931" s="54" t="s">
        <v>2555</v>
      </c>
      <c r="F1931" s="54" t="s">
        <v>4392</v>
      </c>
    </row>
    <row r="1932" spans="1:6" hidden="1">
      <c r="A1932" s="1655" t="s">
        <v>5910</v>
      </c>
      <c r="B1932" s="1649" t="s">
        <v>5895</v>
      </c>
      <c r="C1932" s="1655" t="s">
        <v>5911</v>
      </c>
      <c r="D1932" s="54" t="s">
        <v>2555</v>
      </c>
      <c r="F1932" s="54" t="s">
        <v>4392</v>
      </c>
    </row>
    <row r="1933" spans="1:6" hidden="1">
      <c r="A1933" s="1655" t="s">
        <v>5912</v>
      </c>
      <c r="B1933" s="1649" t="s">
        <v>5898</v>
      </c>
      <c r="C1933" s="1655" t="s">
        <v>5913</v>
      </c>
      <c r="D1933" s="54" t="s">
        <v>2555</v>
      </c>
      <c r="F1933" s="54" t="s">
        <v>4392</v>
      </c>
    </row>
    <row r="1934" spans="1:6" hidden="1">
      <c r="A1934" s="1655" t="s">
        <v>5914</v>
      </c>
      <c r="B1934" s="1649" t="s">
        <v>5901</v>
      </c>
      <c r="C1934" s="1655" t="s">
        <v>5915</v>
      </c>
      <c r="D1934" s="54" t="s">
        <v>2555</v>
      </c>
      <c r="F1934" s="54" t="s">
        <v>4392</v>
      </c>
    </row>
    <row r="1935" spans="1:6" hidden="1">
      <c r="A1935" s="1655" t="s">
        <v>5916</v>
      </c>
      <c r="B1935" s="1649" t="s">
        <v>5904</v>
      </c>
      <c r="C1935" s="1655" t="s">
        <v>5917</v>
      </c>
      <c r="D1935" s="54" t="s">
        <v>2555</v>
      </c>
      <c r="F1935" s="54" t="s">
        <v>4392</v>
      </c>
    </row>
    <row r="1936" spans="1:6" hidden="1">
      <c r="A1936" s="1655" t="s">
        <v>5918</v>
      </c>
      <c r="B1936" s="1649" t="s">
        <v>5919</v>
      </c>
      <c r="C1936" s="1655" t="s">
        <v>5920</v>
      </c>
      <c r="D1936" s="54" t="s">
        <v>2555</v>
      </c>
      <c r="F1936" s="54" t="s">
        <v>4392</v>
      </c>
    </row>
    <row r="1937" spans="1:6" hidden="1">
      <c r="A1937" s="1655" t="s">
        <v>5921</v>
      </c>
      <c r="B1937" s="1649" t="s">
        <v>5922</v>
      </c>
      <c r="C1937" s="1655" t="s">
        <v>5923</v>
      </c>
      <c r="D1937" s="54" t="s">
        <v>2555</v>
      </c>
      <c r="F1937" s="54" t="s">
        <v>4392</v>
      </c>
    </row>
    <row r="1938" spans="1:6" hidden="1">
      <c r="A1938" s="1655" t="s">
        <v>5924</v>
      </c>
      <c r="B1938" s="1649" t="s">
        <v>5925</v>
      </c>
      <c r="C1938" s="1655" t="s">
        <v>5926</v>
      </c>
      <c r="D1938" s="54" t="s">
        <v>4138</v>
      </c>
      <c r="F1938" s="54" t="s">
        <v>4392</v>
      </c>
    </row>
    <row r="1939" spans="1:6" hidden="1">
      <c r="A1939" s="1655" t="s">
        <v>5927</v>
      </c>
      <c r="B1939" s="1649" t="s">
        <v>5919</v>
      </c>
      <c r="C1939" s="1655" t="s">
        <v>5928</v>
      </c>
      <c r="D1939" s="54" t="s">
        <v>2555</v>
      </c>
      <c r="F1939" s="54" t="s">
        <v>4392</v>
      </c>
    </row>
    <row r="1940" spans="1:6" hidden="1">
      <c r="A1940" s="1655" t="s">
        <v>5929</v>
      </c>
      <c r="B1940" s="1649" t="s">
        <v>5922</v>
      </c>
      <c r="C1940" s="1655" t="s">
        <v>5930</v>
      </c>
      <c r="D1940" s="54" t="s">
        <v>2555</v>
      </c>
      <c r="F1940" s="54" t="s">
        <v>4392</v>
      </c>
    </row>
    <row r="1941" spans="1:6" hidden="1">
      <c r="A1941" s="1655" t="s">
        <v>5931</v>
      </c>
      <c r="B1941" s="1649" t="s">
        <v>5925</v>
      </c>
      <c r="C1941" s="1655" t="s">
        <v>5932</v>
      </c>
      <c r="D1941" s="54" t="s">
        <v>2555</v>
      </c>
      <c r="F1941" s="54" t="s">
        <v>4392</v>
      </c>
    </row>
    <row r="1942" spans="1:6" hidden="1">
      <c r="A1942" s="1655" t="s">
        <v>5933</v>
      </c>
      <c r="B1942" s="1649" t="s">
        <v>5925</v>
      </c>
      <c r="C1942" s="1655" t="s">
        <v>5934</v>
      </c>
      <c r="D1942" s="54" t="s">
        <v>4138</v>
      </c>
      <c r="F1942" s="54" t="s">
        <v>4392</v>
      </c>
    </row>
    <row r="1943" spans="1:6" hidden="1">
      <c r="A1943" s="1655" t="s">
        <v>5935</v>
      </c>
      <c r="B1943" s="1649" t="s">
        <v>5925</v>
      </c>
      <c r="C1943" s="1655" t="s">
        <v>5936</v>
      </c>
      <c r="D1943" s="54" t="s">
        <v>4138</v>
      </c>
      <c r="F1943" s="54" t="s">
        <v>4392</v>
      </c>
    </row>
    <row r="1944" spans="1:6" s="2989" customFormat="1" hidden="1">
      <c r="A1944" s="2997" t="s">
        <v>6587</v>
      </c>
      <c r="B1944" s="2996" t="s">
        <v>5938</v>
      </c>
      <c r="C1944" s="2997" t="s">
        <v>6588</v>
      </c>
      <c r="D1944" s="2989" t="s">
        <v>3299</v>
      </c>
      <c r="E1944" s="2999"/>
      <c r="F1944" s="2989" t="s">
        <v>4392</v>
      </c>
    </row>
    <row r="1945" spans="1:6" hidden="1">
      <c r="A1945" s="1655" t="s">
        <v>5937</v>
      </c>
      <c r="B1945" s="1649" t="s">
        <v>5938</v>
      </c>
      <c r="C1945" s="1655" t="s">
        <v>5939</v>
      </c>
      <c r="D1945" s="54" t="s">
        <v>3299</v>
      </c>
      <c r="F1945" s="54" t="s">
        <v>4392</v>
      </c>
    </row>
    <row r="1946" spans="1:6" hidden="1">
      <c r="A1946" s="1655" t="s">
        <v>5940</v>
      </c>
      <c r="B1946" s="1649" t="s">
        <v>5941</v>
      </c>
      <c r="C1946" s="1655" t="s">
        <v>5942</v>
      </c>
      <c r="D1946" s="54" t="s">
        <v>3299</v>
      </c>
      <c r="F1946" s="54" t="s">
        <v>4392</v>
      </c>
    </row>
    <row r="1947" spans="1:6">
      <c r="A1947" s="1655" t="s">
        <v>5943</v>
      </c>
      <c r="B1947" s="1649" t="s">
        <v>5585</v>
      </c>
      <c r="C1947" s="1655" t="s">
        <v>5944</v>
      </c>
      <c r="D1947" s="54" t="s">
        <v>3299</v>
      </c>
      <c r="F1947" s="54" t="s">
        <v>4392</v>
      </c>
    </row>
    <row r="1948" spans="1:6" hidden="1">
      <c r="A1948" s="1655" t="s">
        <v>5945</v>
      </c>
      <c r="B1948" s="1649" t="s">
        <v>5586</v>
      </c>
      <c r="C1948" s="1655" t="s">
        <v>5946</v>
      </c>
      <c r="D1948" s="54" t="s">
        <v>3299</v>
      </c>
      <c r="F1948" s="54" t="s">
        <v>4392</v>
      </c>
    </row>
    <row r="1949" spans="1:6" hidden="1">
      <c r="A1949" s="1655" t="s">
        <v>5947</v>
      </c>
      <c r="B1949" s="1649" t="s">
        <v>5587</v>
      </c>
      <c r="C1949" s="1655" t="s">
        <v>5948</v>
      </c>
      <c r="D1949" s="54" t="s">
        <v>3299</v>
      </c>
      <c r="F1949" s="54" t="s">
        <v>4392</v>
      </c>
    </row>
    <row r="1950" spans="1:6" hidden="1">
      <c r="A1950" s="1655" t="s">
        <v>5949</v>
      </c>
      <c r="B1950" s="1649" t="s">
        <v>5588</v>
      </c>
      <c r="C1950" s="1655" t="s">
        <v>5950</v>
      </c>
      <c r="D1950" s="54" t="s">
        <v>3299</v>
      </c>
      <c r="F1950" s="54" t="s">
        <v>4392</v>
      </c>
    </row>
    <row r="1951" spans="1:6" hidden="1">
      <c r="A1951" s="1655" t="s">
        <v>5951</v>
      </c>
      <c r="B1951" s="1649" t="s">
        <v>5589</v>
      </c>
      <c r="C1951" s="1655" t="s">
        <v>5952</v>
      </c>
      <c r="D1951" s="54" t="s">
        <v>3299</v>
      </c>
      <c r="F1951" s="54" t="s">
        <v>4392</v>
      </c>
    </row>
    <row r="1952" spans="1:6" hidden="1">
      <c r="A1952" s="1655" t="s">
        <v>5953</v>
      </c>
      <c r="B1952" s="1649" t="s">
        <v>5590</v>
      </c>
      <c r="C1952" s="1655" t="s">
        <v>5954</v>
      </c>
      <c r="D1952" s="54" t="s">
        <v>3299</v>
      </c>
      <c r="F1952" s="54" t="s">
        <v>4392</v>
      </c>
    </row>
    <row r="1953" spans="1:6" hidden="1">
      <c r="A1953" s="1655" t="s">
        <v>5955</v>
      </c>
      <c r="B1953" s="1649" t="s">
        <v>5579</v>
      </c>
      <c r="C1953" s="1655" t="s">
        <v>5956</v>
      </c>
      <c r="D1953" s="54" t="s">
        <v>3299</v>
      </c>
      <c r="F1953" s="54" t="s">
        <v>4392</v>
      </c>
    </row>
    <row r="1954" spans="1:6" hidden="1">
      <c r="A1954" s="1655" t="s">
        <v>5957</v>
      </c>
      <c r="B1954" s="1649" t="s">
        <v>5580</v>
      </c>
      <c r="C1954" s="1655" t="s">
        <v>5958</v>
      </c>
      <c r="D1954" s="54" t="s">
        <v>3299</v>
      </c>
      <c r="F1954" s="54" t="s">
        <v>4392</v>
      </c>
    </row>
    <row r="1955" spans="1:6" hidden="1">
      <c r="A1955" s="1655" t="s">
        <v>5959</v>
      </c>
      <c r="B1955" s="1649" t="s">
        <v>5581</v>
      </c>
      <c r="C1955" s="1655" t="s">
        <v>5960</v>
      </c>
      <c r="D1955" s="54" t="s">
        <v>3299</v>
      </c>
      <c r="F1955" s="54" t="s">
        <v>4392</v>
      </c>
    </row>
    <row r="1956" spans="1:6">
      <c r="A1956" s="1655" t="s">
        <v>5961</v>
      </c>
      <c r="B1956" s="1649" t="s">
        <v>5582</v>
      </c>
      <c r="C1956" s="1655" t="s">
        <v>5962</v>
      </c>
      <c r="D1956" s="54" t="s">
        <v>3299</v>
      </c>
      <c r="F1956" s="54" t="s">
        <v>4392</v>
      </c>
    </row>
    <row r="1957" spans="1:6" hidden="1">
      <c r="A1957" s="1655" t="s">
        <v>5963</v>
      </c>
      <c r="B1957" s="1649" t="s">
        <v>5964</v>
      </c>
      <c r="C1957" s="1655" t="s">
        <v>5965</v>
      </c>
      <c r="D1957" s="54" t="s">
        <v>3299</v>
      </c>
      <c r="F1957" s="54" t="s">
        <v>4392</v>
      </c>
    </row>
    <row r="1958" spans="1:6" hidden="1">
      <c r="A1958" s="1655" t="s">
        <v>5966</v>
      </c>
      <c r="B1958" s="1649" t="s">
        <v>5967</v>
      </c>
      <c r="C1958" s="1655" t="s">
        <v>5968</v>
      </c>
      <c r="D1958" s="54" t="s">
        <v>3299</v>
      </c>
      <c r="F1958" s="54" t="s">
        <v>4392</v>
      </c>
    </row>
    <row r="1959" spans="1:6" hidden="1">
      <c r="A1959" s="1655" t="s">
        <v>5969</v>
      </c>
      <c r="B1959" s="1649" t="s">
        <v>5597</v>
      </c>
      <c r="C1959" s="1655" t="s">
        <v>5970</v>
      </c>
      <c r="D1959" s="54" t="s">
        <v>2555</v>
      </c>
      <c r="F1959" s="54" t="s">
        <v>4392</v>
      </c>
    </row>
    <row r="1960" spans="1:6" hidden="1">
      <c r="A1960" s="1655" t="s">
        <v>5971</v>
      </c>
      <c r="B1960" s="1649" t="s">
        <v>5595</v>
      </c>
      <c r="C1960" s="1655" t="s">
        <v>5972</v>
      </c>
      <c r="D1960" s="54" t="s">
        <v>2555</v>
      </c>
      <c r="F1960" s="54" t="s">
        <v>4392</v>
      </c>
    </row>
    <row r="1961" spans="1:6" hidden="1">
      <c r="A1961" s="1655" t="s">
        <v>5973</v>
      </c>
      <c r="B1961" s="1649" t="s">
        <v>5598</v>
      </c>
      <c r="C1961" s="1655" t="s">
        <v>5974</v>
      </c>
      <c r="D1961" s="54" t="s">
        <v>2555</v>
      </c>
      <c r="F1961" s="54" t="s">
        <v>4392</v>
      </c>
    </row>
    <row r="1962" spans="1:6" hidden="1">
      <c r="C1962" s="1655" t="s">
        <v>5975</v>
      </c>
      <c r="F1962" s="54">
        <v>3000</v>
      </c>
    </row>
    <row r="1963" spans="1:6" hidden="1">
      <c r="A1963" s="1655" t="s">
        <v>5976</v>
      </c>
      <c r="B1963" s="1649" t="s">
        <v>5977</v>
      </c>
      <c r="C1963" s="1655" t="s">
        <v>5978</v>
      </c>
      <c r="D1963" s="54" t="s">
        <v>2555</v>
      </c>
      <c r="F1963" s="54" t="s">
        <v>4392</v>
      </c>
    </row>
    <row r="1964" spans="1:6" hidden="1">
      <c r="A1964" s="1655" t="s">
        <v>6601</v>
      </c>
      <c r="B1964" s="1649" t="s">
        <v>5977</v>
      </c>
      <c r="C1964" s="1655" t="s">
        <v>6600</v>
      </c>
      <c r="D1964" s="54" t="s">
        <v>2555</v>
      </c>
      <c r="F1964" s="54" t="s">
        <v>4392</v>
      </c>
    </row>
    <row r="1965" spans="1:6" hidden="1">
      <c r="A1965" s="1655" t="s">
        <v>5979</v>
      </c>
      <c r="B1965" s="1649" t="s">
        <v>5980</v>
      </c>
      <c r="C1965" s="1655" t="s">
        <v>5981</v>
      </c>
      <c r="D1965" s="54" t="s">
        <v>2555</v>
      </c>
      <c r="F1965" s="54" t="s">
        <v>4392</v>
      </c>
    </row>
    <row r="1966" spans="1:6" hidden="1">
      <c r="A1966" s="1655" t="s">
        <v>5982</v>
      </c>
      <c r="B1966" s="1649" t="s">
        <v>5558</v>
      </c>
      <c r="C1966" s="1655" t="s">
        <v>5983</v>
      </c>
      <c r="D1966" s="54" t="s">
        <v>2439</v>
      </c>
      <c r="F1966" s="54" t="s">
        <v>4392</v>
      </c>
    </row>
    <row r="1967" spans="1:6" hidden="1">
      <c r="A1967" s="1655" t="s">
        <v>5984</v>
      </c>
      <c r="B1967" s="1649" t="s">
        <v>5985</v>
      </c>
      <c r="C1967" s="1655" t="s">
        <v>5986</v>
      </c>
      <c r="D1967" s="54" t="s">
        <v>2831</v>
      </c>
      <c r="F1967" s="54" t="s">
        <v>4392</v>
      </c>
    </row>
    <row r="1968" spans="1:6" hidden="1">
      <c r="A1968" s="1655" t="s">
        <v>5987</v>
      </c>
      <c r="B1968" s="1649" t="s">
        <v>5988</v>
      </c>
      <c r="C1968" s="1655" t="s">
        <v>5989</v>
      </c>
      <c r="D1968" s="54" t="s">
        <v>2831</v>
      </c>
      <c r="F1968" s="54" t="s">
        <v>4392</v>
      </c>
    </row>
    <row r="1969" spans="1:6" hidden="1">
      <c r="A1969" s="1655" t="s">
        <v>5990</v>
      </c>
      <c r="B1969" s="1649" t="s">
        <v>5991</v>
      </c>
      <c r="C1969" s="1655" t="s">
        <v>5992</v>
      </c>
      <c r="D1969" s="54" t="s">
        <v>2831</v>
      </c>
      <c r="F1969" s="54" t="s">
        <v>4392</v>
      </c>
    </row>
    <row r="1970" spans="1:6" hidden="1">
      <c r="A1970" s="1655" t="s">
        <v>5993</v>
      </c>
      <c r="B1970" s="1649" t="s">
        <v>5994</v>
      </c>
      <c r="C1970" s="1655" t="s">
        <v>5995</v>
      </c>
      <c r="D1970" s="54" t="s">
        <v>2831</v>
      </c>
      <c r="F1970" s="54" t="s">
        <v>4392</v>
      </c>
    </row>
    <row r="1971" spans="1:6" hidden="1">
      <c r="A1971" s="1655" t="s">
        <v>5996</v>
      </c>
      <c r="B1971" s="1649" t="s">
        <v>5997</v>
      </c>
      <c r="C1971" s="1655" t="s">
        <v>5998</v>
      </c>
      <c r="D1971" s="54" t="s">
        <v>1823</v>
      </c>
      <c r="F1971" s="54" t="s">
        <v>4392</v>
      </c>
    </row>
    <row r="1972" spans="1:6" hidden="1">
      <c r="A1972" s="1655" t="s">
        <v>5999</v>
      </c>
      <c r="B1972" s="1649" t="s">
        <v>6000</v>
      </c>
      <c r="C1972" s="1655" t="s">
        <v>6001</v>
      </c>
      <c r="D1972" s="54" t="s">
        <v>1823</v>
      </c>
      <c r="F1972" s="54" t="s">
        <v>4392</v>
      </c>
    </row>
    <row r="1973" spans="1:6" hidden="1">
      <c r="A1973" s="1655" t="s">
        <v>6002</v>
      </c>
      <c r="B1973" s="1649" t="s">
        <v>6003</v>
      </c>
      <c r="C1973" s="1655" t="s">
        <v>6004</v>
      </c>
      <c r="D1973" s="54" t="s">
        <v>1823</v>
      </c>
      <c r="F1973" s="54" t="s">
        <v>4392</v>
      </c>
    </row>
    <row r="1974" spans="1:6" hidden="1">
      <c r="A1974" s="1655" t="s">
        <v>6005</v>
      </c>
      <c r="B1974" s="1649" t="s">
        <v>6006</v>
      </c>
      <c r="C1974" s="1655" t="s">
        <v>6007</v>
      </c>
      <c r="D1974" s="54" t="s">
        <v>1823</v>
      </c>
      <c r="F1974" s="54" t="s">
        <v>4392</v>
      </c>
    </row>
    <row r="1975" spans="1:6" hidden="1">
      <c r="A1975" s="1655" t="s">
        <v>6008</v>
      </c>
      <c r="B1975" s="1649" t="s">
        <v>6009</v>
      </c>
      <c r="C1975" s="1655" t="s">
        <v>6010</v>
      </c>
      <c r="D1975" s="54" t="s">
        <v>1823</v>
      </c>
      <c r="F1975" s="54" t="s">
        <v>4392</v>
      </c>
    </row>
    <row r="1976" spans="1:6" hidden="1">
      <c r="C1976" s="1655" t="s">
        <v>6011</v>
      </c>
      <c r="D1976" s="54" t="s">
        <v>1823</v>
      </c>
      <c r="F1976" s="54">
        <v>3000</v>
      </c>
    </row>
    <row r="1977" spans="1:6" hidden="1">
      <c r="A1977" s="1655" t="s">
        <v>6012</v>
      </c>
      <c r="B1977" s="1649" t="s">
        <v>6013</v>
      </c>
      <c r="C1977" s="1655" t="s">
        <v>6014</v>
      </c>
      <c r="D1977" s="54" t="s">
        <v>1823</v>
      </c>
      <c r="F1977" s="54" t="s">
        <v>4392</v>
      </c>
    </row>
    <row r="1978" spans="1:6" hidden="1">
      <c r="A1978" s="1655" t="s">
        <v>6015</v>
      </c>
      <c r="B1978" s="1649" t="s">
        <v>6016</v>
      </c>
      <c r="C1978" s="1655" t="s">
        <v>6017</v>
      </c>
      <c r="D1978" s="54" t="s">
        <v>1823</v>
      </c>
      <c r="F1978" s="54" t="s">
        <v>4392</v>
      </c>
    </row>
    <row r="1979" spans="1:6" hidden="1">
      <c r="A1979" s="1655" t="s">
        <v>6018</v>
      </c>
      <c r="B1979" s="1649" t="s">
        <v>6019</v>
      </c>
      <c r="C1979" s="1655" t="s">
        <v>6020</v>
      </c>
      <c r="D1979" s="54" t="s">
        <v>1823</v>
      </c>
      <c r="F1979" s="54" t="s">
        <v>4392</v>
      </c>
    </row>
    <row r="1980" spans="1:6">
      <c r="A1980" s="1655" t="s">
        <v>6021</v>
      </c>
      <c r="B1980" s="1649" t="s">
        <v>6022</v>
      </c>
      <c r="C1980" s="1655" t="s">
        <v>6023</v>
      </c>
      <c r="D1980" s="54" t="s">
        <v>1823</v>
      </c>
      <c r="F1980" s="54" t="s">
        <v>4392</v>
      </c>
    </row>
    <row r="1981" spans="1:6" hidden="1">
      <c r="A1981" s="1655" t="s">
        <v>6024</v>
      </c>
      <c r="B1981" s="1649" t="s">
        <v>6025</v>
      </c>
      <c r="C1981" s="1655" t="s">
        <v>6026</v>
      </c>
      <c r="D1981" s="54" t="s">
        <v>1823</v>
      </c>
      <c r="F1981" s="54" t="s">
        <v>4392</v>
      </c>
    </row>
    <row r="1982" spans="1:6" hidden="1">
      <c r="A1982" s="1655" t="s">
        <v>6027</v>
      </c>
      <c r="B1982" s="1649" t="s">
        <v>6028</v>
      </c>
      <c r="C1982" s="1655" t="s">
        <v>6029</v>
      </c>
      <c r="D1982" s="54" t="s">
        <v>1823</v>
      </c>
      <c r="F1982" s="54" t="s">
        <v>4392</v>
      </c>
    </row>
    <row r="1983" spans="1:6" hidden="1">
      <c r="C1983" s="1655" t="s">
        <v>6030</v>
      </c>
      <c r="D1983" s="54" t="s">
        <v>1823</v>
      </c>
      <c r="F1983" s="54">
        <v>3000</v>
      </c>
    </row>
    <row r="1984" spans="1:6" hidden="1">
      <c r="A1984" s="1655" t="s">
        <v>6031</v>
      </c>
      <c r="B1984" s="1649" t="s">
        <v>6032</v>
      </c>
      <c r="C1984" s="1655" t="s">
        <v>6033</v>
      </c>
      <c r="D1984" s="54" t="s">
        <v>1823</v>
      </c>
      <c r="F1984" s="54" t="s">
        <v>4392</v>
      </c>
    </row>
    <row r="1985" spans="1:6" hidden="1">
      <c r="A1985" s="1655" t="s">
        <v>6034</v>
      </c>
      <c r="B1985" s="1649" t="s">
        <v>6035</v>
      </c>
      <c r="C1985" s="1655" t="s">
        <v>6036</v>
      </c>
      <c r="D1985" s="54" t="s">
        <v>1823</v>
      </c>
      <c r="F1985" s="54" t="s">
        <v>4392</v>
      </c>
    </row>
    <row r="1986" spans="1:6" hidden="1">
      <c r="A1986" s="1655" t="s">
        <v>6037</v>
      </c>
      <c r="B1986" s="1649" t="s">
        <v>6038</v>
      </c>
      <c r="C1986" s="1655" t="s">
        <v>6039</v>
      </c>
      <c r="D1986" s="54" t="s">
        <v>1823</v>
      </c>
      <c r="F1986" s="54" t="s">
        <v>4392</v>
      </c>
    </row>
    <row r="1987" spans="1:6">
      <c r="A1987" s="1655" t="s">
        <v>6040</v>
      </c>
      <c r="B1987" s="1649" t="s">
        <v>6041</v>
      </c>
      <c r="C1987" s="1655" t="s">
        <v>6042</v>
      </c>
      <c r="D1987" s="54" t="s">
        <v>1823</v>
      </c>
      <c r="F1987" s="54" t="s">
        <v>4392</v>
      </c>
    </row>
    <row r="1988" spans="1:6" hidden="1">
      <c r="A1988" s="1655" t="s">
        <v>6043</v>
      </c>
      <c r="B1988" s="1649" t="s">
        <v>6044</v>
      </c>
      <c r="C1988" s="1655" t="s">
        <v>6045</v>
      </c>
      <c r="D1988" s="54" t="s">
        <v>1823</v>
      </c>
      <c r="F1988" s="54" t="s">
        <v>4392</v>
      </c>
    </row>
    <row r="1989" spans="1:6" hidden="1">
      <c r="A1989" s="1655" t="s">
        <v>6046</v>
      </c>
      <c r="B1989" s="1649" t="s">
        <v>6047</v>
      </c>
      <c r="C1989" s="1655" t="s">
        <v>6048</v>
      </c>
      <c r="D1989" s="54" t="s">
        <v>1823</v>
      </c>
      <c r="F1989" s="54" t="s">
        <v>4392</v>
      </c>
    </row>
    <row r="1990" spans="1:6" hidden="1">
      <c r="C1990" s="1655" t="s">
        <v>6049</v>
      </c>
      <c r="D1990" s="54" t="s">
        <v>1823</v>
      </c>
      <c r="F1990" s="54">
        <v>3000</v>
      </c>
    </row>
    <row r="1991" spans="1:6" hidden="1">
      <c r="A1991" s="1655" t="s">
        <v>6050</v>
      </c>
      <c r="B1991" s="1649" t="s">
        <v>6051</v>
      </c>
      <c r="C1991" s="1655" t="s">
        <v>6052</v>
      </c>
      <c r="D1991" s="54" t="s">
        <v>1823</v>
      </c>
      <c r="F1991" s="54" t="s">
        <v>4392</v>
      </c>
    </row>
    <row r="1992" spans="1:6" hidden="1">
      <c r="A1992" s="1655" t="s">
        <v>6053</v>
      </c>
      <c r="B1992" s="1649" t="s">
        <v>6054</v>
      </c>
      <c r="C1992" s="1655" t="s">
        <v>6055</v>
      </c>
      <c r="D1992" s="54" t="s">
        <v>1823</v>
      </c>
      <c r="F1992" s="54" t="s">
        <v>4392</v>
      </c>
    </row>
    <row r="1993" spans="1:6" hidden="1">
      <c r="A1993" s="1655" t="s">
        <v>6056</v>
      </c>
      <c r="B1993" s="1649" t="s">
        <v>6057</v>
      </c>
      <c r="C1993" s="1655" t="s">
        <v>6058</v>
      </c>
      <c r="D1993" s="54" t="s">
        <v>1823</v>
      </c>
      <c r="F1993" s="54" t="s">
        <v>4392</v>
      </c>
    </row>
    <row r="1994" spans="1:6" hidden="1">
      <c r="A1994" s="1655" t="s">
        <v>6059</v>
      </c>
      <c r="B1994" s="1649" t="s">
        <v>6060</v>
      </c>
      <c r="C1994" s="1655" t="s">
        <v>6061</v>
      </c>
      <c r="D1994" s="54" t="s">
        <v>1823</v>
      </c>
      <c r="F1994" s="54" t="s">
        <v>4392</v>
      </c>
    </row>
    <row r="1995" spans="1:6" hidden="1">
      <c r="C1995" s="1655" t="s">
        <v>6062</v>
      </c>
      <c r="D1995" s="54" t="s">
        <v>1823</v>
      </c>
      <c r="F1995" s="54">
        <v>3000</v>
      </c>
    </row>
    <row r="1996" spans="1:6" hidden="1">
      <c r="A1996" s="1655" t="s">
        <v>6063</v>
      </c>
      <c r="B1996" s="1649" t="s">
        <v>6064</v>
      </c>
      <c r="C1996" s="1655" t="s">
        <v>6065</v>
      </c>
      <c r="D1996" s="54" t="s">
        <v>1823</v>
      </c>
      <c r="F1996" s="54" t="s">
        <v>4392</v>
      </c>
    </row>
    <row r="1997" spans="1:6" hidden="1">
      <c r="A1997" s="1655" t="s">
        <v>6066</v>
      </c>
      <c r="B1997" s="1649" t="s">
        <v>6067</v>
      </c>
      <c r="C1997" s="1655" t="s">
        <v>6068</v>
      </c>
      <c r="D1997" s="54" t="s">
        <v>1823</v>
      </c>
      <c r="F1997" s="54" t="s">
        <v>4392</v>
      </c>
    </row>
    <row r="1998" spans="1:6" hidden="1">
      <c r="A1998" s="1655" t="s">
        <v>6069</v>
      </c>
      <c r="B1998" s="1649" t="s">
        <v>6070</v>
      </c>
      <c r="C1998" s="1655" t="s">
        <v>6071</v>
      </c>
      <c r="D1998" s="54" t="s">
        <v>1823</v>
      </c>
      <c r="F1998" s="54" t="s">
        <v>4392</v>
      </c>
    </row>
    <row r="1999" spans="1:6" hidden="1">
      <c r="A1999" s="1655" t="s">
        <v>6072</v>
      </c>
      <c r="B1999" s="1649" t="s">
        <v>6073</v>
      </c>
      <c r="C1999" s="1655" t="s">
        <v>6074</v>
      </c>
      <c r="D1999" s="54" t="s">
        <v>1823</v>
      </c>
      <c r="F1999" s="54" t="s">
        <v>4392</v>
      </c>
    </row>
    <row r="2000" spans="1:6" hidden="1">
      <c r="C2000" s="1655" t="s">
        <v>6075</v>
      </c>
      <c r="D2000" s="54" t="s">
        <v>1823</v>
      </c>
      <c r="F2000" s="54">
        <v>3000</v>
      </c>
    </row>
    <row r="2001" spans="1:6" hidden="1">
      <c r="A2001" s="1655" t="s">
        <v>6076</v>
      </c>
      <c r="B2001" s="1649" t="s">
        <v>6013</v>
      </c>
      <c r="C2001" s="1655" t="s">
        <v>6077</v>
      </c>
      <c r="D2001" s="54" t="s">
        <v>1823</v>
      </c>
      <c r="F2001" s="54" t="s">
        <v>4392</v>
      </c>
    </row>
    <row r="2002" spans="1:6" hidden="1">
      <c r="A2002" s="1655" t="s">
        <v>6078</v>
      </c>
      <c r="B2002" s="1649" t="s">
        <v>6013</v>
      </c>
      <c r="C2002" s="1655" t="s">
        <v>6079</v>
      </c>
      <c r="D2002" s="54" t="s">
        <v>1823</v>
      </c>
      <c r="F2002" s="54" t="s">
        <v>4392</v>
      </c>
    </row>
    <row r="2003" spans="1:6" hidden="1">
      <c r="A2003" s="1655" t="s">
        <v>6080</v>
      </c>
      <c r="B2003" s="1649" t="s">
        <v>6013</v>
      </c>
      <c r="C2003" s="1655" t="s">
        <v>6081</v>
      </c>
      <c r="D2003" s="54" t="s">
        <v>1823</v>
      </c>
      <c r="F2003" s="54" t="s">
        <v>4392</v>
      </c>
    </row>
    <row r="2004" spans="1:6" hidden="1">
      <c r="A2004" s="1655" t="s">
        <v>6082</v>
      </c>
      <c r="B2004" s="1649" t="s">
        <v>6013</v>
      </c>
      <c r="C2004" s="1655" t="s">
        <v>6083</v>
      </c>
      <c r="D2004" s="54" t="s">
        <v>1823</v>
      </c>
      <c r="F2004" s="54" t="s">
        <v>4392</v>
      </c>
    </row>
    <row r="2005" spans="1:6" hidden="1">
      <c r="A2005" s="1655" t="s">
        <v>6406</v>
      </c>
      <c r="C2005" s="1655" t="s">
        <v>6229</v>
      </c>
      <c r="D2005" s="54" t="s">
        <v>2385</v>
      </c>
      <c r="F2005" s="54">
        <v>2000</v>
      </c>
    </row>
    <row r="2006" spans="1:6" hidden="1">
      <c r="A2006" s="1655" t="s">
        <v>6407</v>
      </c>
      <c r="C2006" s="1655" t="s">
        <v>6268</v>
      </c>
      <c r="D2006" s="54" t="s">
        <v>2385</v>
      </c>
      <c r="F2006" s="54">
        <v>2000</v>
      </c>
    </row>
    <row r="2007" spans="1:6" hidden="1">
      <c r="A2007" s="1655" t="s">
        <v>6408</v>
      </c>
      <c r="C2007" s="1655" t="s">
        <v>6269</v>
      </c>
      <c r="D2007" s="54" t="s">
        <v>2385</v>
      </c>
      <c r="F2007" s="54">
        <v>2000</v>
      </c>
    </row>
    <row r="2008" spans="1:6" hidden="1"/>
    <row r="2009" spans="1:6" hidden="1">
      <c r="C2009" s="1655" t="s">
        <v>3691</v>
      </c>
      <c r="D2009" s="54" t="s">
        <v>2385</v>
      </c>
    </row>
    <row r="2010" spans="1:6" hidden="1">
      <c r="C2010" s="1655" t="s">
        <v>3673</v>
      </c>
      <c r="D2010" s="54" t="s">
        <v>2385</v>
      </c>
    </row>
    <row r="2011" spans="1:6" hidden="1">
      <c r="A2011" s="1655" t="s">
        <v>6456</v>
      </c>
      <c r="C2011" s="1655" t="s">
        <v>4342</v>
      </c>
      <c r="D2011" s="54" t="s">
        <v>2385</v>
      </c>
      <c r="F2011" s="54">
        <v>2000</v>
      </c>
    </row>
    <row r="2012" spans="1:6" hidden="1">
      <c r="C2012" s="1655" t="s">
        <v>4375</v>
      </c>
      <c r="D2012" s="54" t="s">
        <v>2385</v>
      </c>
    </row>
    <row r="2013" spans="1:6" hidden="1">
      <c r="C2013" s="1655" t="s">
        <v>3699</v>
      </c>
      <c r="D2013" s="54" t="s">
        <v>2385</v>
      </c>
    </row>
    <row r="2014" spans="1:6">
      <c r="C2014" s="1655" t="s">
        <v>3706</v>
      </c>
      <c r="D2014" s="54" t="s">
        <v>2385</v>
      </c>
    </row>
    <row r="2015" spans="1:6" hidden="1">
      <c r="C2015" s="1655" t="s">
        <v>3707</v>
      </c>
      <c r="D2015" s="54" t="s">
        <v>2385</v>
      </c>
    </row>
    <row r="2016" spans="1:6" hidden="1">
      <c r="C2016" s="1655" t="s">
        <v>3700</v>
      </c>
      <c r="D2016" s="54" t="s">
        <v>2385</v>
      </c>
    </row>
    <row r="2017" spans="1:6" hidden="1">
      <c r="C2017" s="1655" t="s">
        <v>3708</v>
      </c>
      <c r="D2017" s="54" t="s">
        <v>2385</v>
      </c>
    </row>
    <row r="2018" spans="1:6" hidden="1">
      <c r="C2018" s="1655" t="s">
        <v>3711</v>
      </c>
      <c r="D2018" s="54" t="s">
        <v>2277</v>
      </c>
    </row>
    <row r="2019" spans="1:6" hidden="1">
      <c r="C2019" s="1655" t="s">
        <v>3712</v>
      </c>
      <c r="D2019" s="54" t="s">
        <v>2327</v>
      </c>
    </row>
    <row r="2020" spans="1:6" hidden="1">
      <c r="C2020" s="1655" t="s">
        <v>4822</v>
      </c>
      <c r="D2020" s="54" t="s">
        <v>2385</v>
      </c>
    </row>
    <row r="2021" spans="1:6" hidden="1">
      <c r="C2021" s="1655" t="s">
        <v>4823</v>
      </c>
      <c r="D2021" s="54" t="s">
        <v>2385</v>
      </c>
    </row>
    <row r="2022" spans="1:6" hidden="1">
      <c r="C2022" s="1655" t="s">
        <v>3714</v>
      </c>
      <c r="D2022" s="54" t="s">
        <v>2385</v>
      </c>
    </row>
    <row r="2023" spans="1:6" hidden="1">
      <c r="C2023" s="1655" t="s">
        <v>4450</v>
      </c>
      <c r="D2023" s="54" t="s">
        <v>2385</v>
      </c>
    </row>
    <row r="2024" spans="1:6" hidden="1">
      <c r="A2024" s="1655" t="s">
        <v>6457</v>
      </c>
      <c r="C2024" s="1655" t="s">
        <v>4457</v>
      </c>
      <c r="D2024" s="54" t="s">
        <v>2385</v>
      </c>
      <c r="F2024" s="54">
        <v>2000</v>
      </c>
    </row>
    <row r="2025" spans="1:6" hidden="1">
      <c r="C2025" s="1655" t="s">
        <v>3716</v>
      </c>
      <c r="D2025" s="54" t="s">
        <v>2385</v>
      </c>
    </row>
    <row r="2026" spans="1:6" hidden="1">
      <c r="C2026" s="1655" t="s">
        <v>3717</v>
      </c>
      <c r="D2026" s="54" t="s">
        <v>2385</v>
      </c>
    </row>
    <row r="2027" spans="1:6" hidden="1">
      <c r="C2027" s="1655" t="s">
        <v>3718</v>
      </c>
      <c r="D2027" s="54" t="s">
        <v>2385</v>
      </c>
    </row>
    <row r="2028" spans="1:6" hidden="1">
      <c r="C2028" s="1655" t="s">
        <v>3719</v>
      </c>
      <c r="D2028" s="54" t="s">
        <v>2385</v>
      </c>
    </row>
    <row r="2029" spans="1:6">
      <c r="C2029" s="1655" t="s">
        <v>3720</v>
      </c>
      <c r="D2029" s="54" t="s">
        <v>2385</v>
      </c>
    </row>
    <row r="2030" spans="1:6" hidden="1">
      <c r="C2030" s="1655" t="s">
        <v>3721</v>
      </c>
      <c r="D2030" s="54" t="s">
        <v>2385</v>
      </c>
    </row>
    <row r="2031" spans="1:6" hidden="1">
      <c r="C2031" s="1655" t="s">
        <v>3722</v>
      </c>
      <c r="D2031" s="54" t="s">
        <v>2385</v>
      </c>
    </row>
    <row r="2032" spans="1:6" hidden="1">
      <c r="C2032" s="1655" t="s">
        <v>3723</v>
      </c>
      <c r="D2032" s="54" t="s">
        <v>2532</v>
      </c>
    </row>
    <row r="2033" spans="1:6" hidden="1">
      <c r="C2033" s="1655" t="s">
        <v>3724</v>
      </c>
      <c r="D2033" s="54" t="s">
        <v>2385</v>
      </c>
    </row>
    <row r="2034" spans="1:6" hidden="1">
      <c r="C2034" s="1655" t="s">
        <v>3725</v>
      </c>
      <c r="D2034" s="54" t="s">
        <v>2385</v>
      </c>
    </row>
    <row r="2035" spans="1:6" hidden="1">
      <c r="C2035" s="1655" t="s">
        <v>3726</v>
      </c>
      <c r="D2035" s="54" t="s">
        <v>2385</v>
      </c>
    </row>
    <row r="2036" spans="1:6" hidden="1">
      <c r="C2036" s="1655" t="s">
        <v>3727</v>
      </c>
      <c r="D2036" s="54" t="s">
        <v>2385</v>
      </c>
    </row>
    <row r="2037" spans="1:6" hidden="1">
      <c r="C2037" s="1655" t="s">
        <v>3728</v>
      </c>
      <c r="D2037" s="54" t="s">
        <v>2385</v>
      </c>
    </row>
    <row r="2038" spans="1:6" hidden="1">
      <c r="C2038" s="1655" t="s">
        <v>3732</v>
      </c>
      <c r="D2038" s="54" t="s">
        <v>2277</v>
      </c>
    </row>
    <row r="2039" spans="1:6" hidden="1">
      <c r="C2039" s="1655" t="s">
        <v>3733</v>
      </c>
      <c r="D2039" s="54" t="s">
        <v>2277</v>
      </c>
    </row>
    <row r="2040" spans="1:6" hidden="1">
      <c r="A2040" s="1655" t="s">
        <v>6445</v>
      </c>
      <c r="C2040" s="1655" t="s">
        <v>3713</v>
      </c>
      <c r="D2040" s="54" t="s">
        <v>2385</v>
      </c>
      <c r="F2040" s="54">
        <v>2000</v>
      </c>
    </row>
    <row r="2041" spans="1:6" hidden="1">
      <c r="C2041" s="1655" t="s">
        <v>3734</v>
      </c>
      <c r="D2041" s="54" t="s">
        <v>2385</v>
      </c>
    </row>
    <row r="2042" spans="1:6" hidden="1">
      <c r="C2042" s="1655" t="s">
        <v>4554</v>
      </c>
      <c r="D2042" s="54" t="s">
        <v>2385</v>
      </c>
    </row>
    <row r="2043" spans="1:6" hidden="1">
      <c r="C2043" s="1655" t="s">
        <v>3738</v>
      </c>
      <c r="D2043" s="54" t="s">
        <v>2385</v>
      </c>
    </row>
    <row r="2044" spans="1:6" hidden="1">
      <c r="A2044" s="1655" t="s">
        <v>6435</v>
      </c>
      <c r="C2044" s="1655" t="s">
        <v>3735</v>
      </c>
      <c r="D2044" s="54" t="s">
        <v>2385</v>
      </c>
      <c r="F2044" s="54">
        <v>2000</v>
      </c>
    </row>
    <row r="2045" spans="1:6" hidden="1">
      <c r="C2045" s="1655" t="s">
        <v>4532</v>
      </c>
      <c r="D2045" s="54" t="s">
        <v>2385</v>
      </c>
    </row>
    <row r="2046" spans="1:6" hidden="1">
      <c r="C2046" s="1655" t="s">
        <v>3736</v>
      </c>
      <c r="D2046" s="54" t="s">
        <v>2385</v>
      </c>
    </row>
    <row r="2047" spans="1:6" hidden="1">
      <c r="C2047" s="1655" t="s">
        <v>3737</v>
      </c>
      <c r="D2047" s="54" t="s">
        <v>2385</v>
      </c>
    </row>
    <row r="2048" spans="1:6">
      <c r="C2048" s="1655" t="s">
        <v>4794</v>
      </c>
      <c r="D2048" s="54" t="s">
        <v>2385</v>
      </c>
    </row>
    <row r="2049" spans="3:4" hidden="1">
      <c r="C2049" s="1655" t="s">
        <v>3739</v>
      </c>
      <c r="D2049" s="54" t="s">
        <v>2385</v>
      </c>
    </row>
    <row r="2050" spans="3:4" hidden="1">
      <c r="C2050" s="1655" t="s">
        <v>3741</v>
      </c>
      <c r="D2050" s="54" t="s">
        <v>2385</v>
      </c>
    </row>
    <row r="2051" spans="3:4" hidden="1">
      <c r="C2051" s="1655" t="s">
        <v>3742</v>
      </c>
      <c r="D2051" s="54" t="s">
        <v>2385</v>
      </c>
    </row>
    <row r="2052" spans="3:4" hidden="1">
      <c r="C2052" s="1655" t="s">
        <v>3743</v>
      </c>
      <c r="D2052" s="54" t="s">
        <v>2385</v>
      </c>
    </row>
    <row r="2053" spans="3:4" hidden="1">
      <c r="C2053" s="1655" t="s">
        <v>6419</v>
      </c>
      <c r="D2053" s="54" t="s">
        <v>2385</v>
      </c>
    </row>
    <row r="2054" spans="3:4" hidden="1">
      <c r="C2054" s="1655" t="s">
        <v>3744</v>
      </c>
      <c r="D2054" s="54" t="s">
        <v>2385</v>
      </c>
    </row>
    <row r="2055" spans="3:4" hidden="1">
      <c r="C2055" s="1655" t="s">
        <v>3745</v>
      </c>
      <c r="D2055" s="54" t="s">
        <v>2385</v>
      </c>
    </row>
    <row r="2056" spans="3:4">
      <c r="C2056" s="1655" t="s">
        <v>3746</v>
      </c>
      <c r="D2056" s="54" t="s">
        <v>2385</v>
      </c>
    </row>
    <row r="2057" spans="3:4" hidden="1">
      <c r="C2057" s="1655" t="s">
        <v>3748</v>
      </c>
      <c r="D2057" s="54" t="s">
        <v>2385</v>
      </c>
    </row>
    <row r="2058" spans="3:4" hidden="1">
      <c r="C2058" s="1655" t="s">
        <v>3715</v>
      </c>
      <c r="D2058" s="54" t="s">
        <v>2385</v>
      </c>
    </row>
    <row r="2059" spans="3:4" hidden="1">
      <c r="C2059" s="1655" t="s">
        <v>3750</v>
      </c>
      <c r="D2059" s="54" t="s">
        <v>2385</v>
      </c>
    </row>
    <row r="2060" spans="3:4" hidden="1">
      <c r="C2060" s="1655" t="s">
        <v>3751</v>
      </c>
      <c r="D2060" s="54" t="s">
        <v>2385</v>
      </c>
    </row>
    <row r="2061" spans="3:4" hidden="1">
      <c r="C2061" s="1655" t="s">
        <v>3752</v>
      </c>
      <c r="D2061" s="54" t="s">
        <v>2385</v>
      </c>
    </row>
    <row r="2062" spans="3:4" hidden="1">
      <c r="C2062" s="1655" t="s">
        <v>3753</v>
      </c>
      <c r="D2062" s="54" t="s">
        <v>2385</v>
      </c>
    </row>
    <row r="2063" spans="3:4" hidden="1">
      <c r="C2063" s="1655" t="s">
        <v>3755</v>
      </c>
      <c r="D2063" s="54" t="s">
        <v>2385</v>
      </c>
    </row>
    <row r="2064" spans="3:4" hidden="1">
      <c r="C2064" s="1655" t="s">
        <v>3756</v>
      </c>
      <c r="D2064" s="54" t="s">
        <v>2532</v>
      </c>
    </row>
    <row r="2065" spans="1:6" hidden="1">
      <c r="C2065" s="1655" t="s">
        <v>3757</v>
      </c>
      <c r="D2065" s="54" t="s">
        <v>2385</v>
      </c>
    </row>
    <row r="2066" spans="1:6" hidden="1">
      <c r="C2066" s="1655" t="s">
        <v>3758</v>
      </c>
      <c r="D2066" s="54" t="s">
        <v>2385</v>
      </c>
    </row>
    <row r="2067" spans="1:6" hidden="1">
      <c r="A2067" s="1655" t="s">
        <v>6440</v>
      </c>
      <c r="C2067" s="1655" t="s">
        <v>3759</v>
      </c>
      <c r="D2067" s="54" t="s">
        <v>2385</v>
      </c>
      <c r="F2067" s="54">
        <v>2000</v>
      </c>
    </row>
    <row r="2068" spans="1:6" hidden="1">
      <c r="A2068" s="1655" t="s">
        <v>6439</v>
      </c>
      <c r="C2068" s="1655" t="s">
        <v>6438</v>
      </c>
      <c r="D2068" s="54" t="s">
        <v>2385</v>
      </c>
      <c r="F2068" s="54">
        <v>2000</v>
      </c>
    </row>
    <row r="2069" spans="1:6" ht="13.8">
      <c r="C2069" s="2824"/>
    </row>
  </sheetData>
  <autoFilter ref="A1:J2068" xr:uid="{00000000-0009-0000-0000-000000000000}">
    <filterColumn colId="2">
      <colorFilter dxfId="219"/>
    </filterColumn>
  </autoFilter>
  <phoneticPr fontId="0" type="noConversion"/>
  <conditionalFormatting sqref="A1482:A1579 A1:A36 A1581:A1943 A1071:A1297 A38:A794 A1299:A1363 A798:A1069 A1391:A1480 A1945:A1048576 A1365:A1380">
    <cfRule type="duplicateValues" dxfId="218" priority="40"/>
  </conditionalFormatting>
  <conditionalFormatting sqref="A1481">
    <cfRule type="duplicateValues" dxfId="217" priority="38"/>
  </conditionalFormatting>
  <conditionalFormatting sqref="A1580">
    <cfRule type="duplicateValues" dxfId="216" priority="36"/>
  </conditionalFormatting>
  <conditionalFormatting sqref="A1070">
    <cfRule type="duplicateValues" dxfId="215" priority="34"/>
  </conditionalFormatting>
  <conditionalFormatting sqref="A37">
    <cfRule type="duplicateValues" dxfId="214" priority="32"/>
  </conditionalFormatting>
  <conditionalFormatting sqref="A1298">
    <cfRule type="duplicateValues" dxfId="213" priority="30"/>
  </conditionalFormatting>
  <conditionalFormatting sqref="A795">
    <cfRule type="duplicateValues" dxfId="212" priority="28"/>
  </conditionalFormatting>
  <conditionalFormatting sqref="A797">
    <cfRule type="duplicateValues" dxfId="211" priority="27"/>
  </conditionalFormatting>
  <conditionalFormatting sqref="A796">
    <cfRule type="duplicateValues" dxfId="210" priority="25"/>
  </conditionalFormatting>
  <conditionalFormatting sqref="A1387">
    <cfRule type="duplicateValues" dxfId="209" priority="23"/>
  </conditionalFormatting>
  <conditionalFormatting sqref="A1386">
    <cfRule type="duplicateValues" dxfId="208" priority="21"/>
  </conditionalFormatting>
  <conditionalFormatting sqref="A1385">
    <cfRule type="duplicateValues" dxfId="207" priority="19"/>
  </conditionalFormatting>
  <conditionalFormatting sqref="A1390">
    <cfRule type="duplicateValues" dxfId="206" priority="17"/>
  </conditionalFormatting>
  <conditionalFormatting sqref="A1388">
    <cfRule type="duplicateValues" dxfId="205" priority="15"/>
  </conditionalFormatting>
  <conditionalFormatting sqref="A1389">
    <cfRule type="duplicateValues" dxfId="204" priority="13"/>
  </conditionalFormatting>
  <conditionalFormatting sqref="A1944">
    <cfRule type="duplicateValues" dxfId="203" priority="11"/>
  </conditionalFormatting>
  <conditionalFormatting sqref="A1382">
    <cfRule type="duplicateValues" dxfId="202" priority="9"/>
  </conditionalFormatting>
  <conditionalFormatting sqref="A1381">
    <cfRule type="duplicateValues" dxfId="201" priority="7"/>
  </conditionalFormatting>
  <conditionalFormatting sqref="A1383">
    <cfRule type="duplicateValues" dxfId="200" priority="5"/>
  </conditionalFormatting>
  <conditionalFormatting sqref="A1384">
    <cfRule type="duplicateValues" dxfId="199" priority="3"/>
  </conditionalFormatting>
  <conditionalFormatting sqref="A1364">
    <cfRule type="duplicateValues" dxfId="198"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8" operator="containsText" id="{4AC0C48D-BFC6-4A2E-848F-AAD217C6DE83}">
            <xm:f>NOT(ISERROR(SEARCH($A$1,C1)))</xm:f>
            <xm:f>$A$1</xm:f>
            <x14:dxf>
              <font>
                <color rgb="FF9C0006"/>
              </font>
              <fill>
                <patternFill>
                  <bgColor rgb="FFFFC7CE"/>
                </patternFill>
              </fill>
            </x14:dxf>
          </x14:cfRule>
          <xm:sqref>C1881:C1943 C1:C36 C1333:C1363 C364:C794 C199:C356 C1331 C1482:C1579 C1581:C1879 C38:C197 C1071:C1297 C1299:C1329 C797:C1069 C1391:C1480 C1945:C1048576 C1365:C1380</xm:sqref>
        </x14:conditionalFormatting>
        <x14:conditionalFormatting xmlns:xm="http://schemas.microsoft.com/office/excel/2006/main">
          <x14:cfRule type="containsText" priority="47" operator="containsText" id="{B66F0CBB-EA1D-40E3-AC73-BFF20AD0C72F}">
            <xm:f>NOT(ISERROR(SEARCH($A$1,C1880)))</xm:f>
            <xm:f>$A$1</xm:f>
            <x14:dxf>
              <font>
                <color rgb="FF9C0006"/>
              </font>
              <fill>
                <patternFill>
                  <bgColor rgb="FFFFC7CE"/>
                </patternFill>
              </fill>
            </x14:dxf>
          </x14:cfRule>
          <xm:sqref>C1880</xm:sqref>
        </x14:conditionalFormatting>
        <x14:conditionalFormatting xmlns:xm="http://schemas.microsoft.com/office/excel/2006/main">
          <x14:cfRule type="containsText" priority="46"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3"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2"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1"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9"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7" operator="containsText" id="{55843FE4-7273-43E1-B569-665557BB27BD}">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35"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3"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1"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9"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6"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4"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4"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2" operator="containsText" id="{77B7FBE0-36A7-4015-939F-4B229B4F3C7A}">
            <xm:f>NOT(ISERROR(SEARCH($A$1,C1944)))</xm:f>
            <xm:f>$A$1</xm:f>
            <x14:dxf>
              <font>
                <color rgb="FF9C0006"/>
              </font>
              <fill>
                <patternFill>
                  <bgColor rgb="FFFFC7CE"/>
                </patternFill>
              </fill>
            </x14:dxf>
          </x14:cfRule>
          <xm:sqref>C1944</xm:sqref>
        </x14:conditionalFormatting>
        <x14:conditionalFormatting xmlns:xm="http://schemas.microsoft.com/office/excel/2006/main">
          <x14:cfRule type="containsText" priority="10"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4"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2" operator="containsText" id="{DAE3265C-9863-4D27-8CF3-375A0D20FF51}">
            <xm:f>NOT(ISERROR(SEARCH($A$1,C1364)))</xm:f>
            <xm:f>$A$1</xm:f>
            <x14:dxf>
              <font>
                <color rgb="FF9C0006"/>
              </font>
              <fill>
                <patternFill>
                  <bgColor rgb="FFFFC7CE"/>
                </patternFill>
              </fill>
            </x14:dxf>
          </x14:cfRule>
          <xm:sqref>C1364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H1" zoomScale="85" zoomScaleNormal="85" workbookViewId="0">
      <selection activeCell="Q2" sqref="Q2"/>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7" t="s">
        <v>4603</v>
      </c>
      <c r="B1" s="1757" t="s">
        <v>4377</v>
      </c>
      <c r="C1" s="1757" t="s">
        <v>4542</v>
      </c>
      <c r="D1" s="1757" t="s">
        <v>4380</v>
      </c>
      <c r="E1" s="1757" t="s">
        <v>4552</v>
      </c>
      <c r="F1" s="1757" t="s">
        <v>4468</v>
      </c>
      <c r="G1" s="1757" t="s">
        <v>4604</v>
      </c>
      <c r="H1" s="1757" t="s">
        <v>4605</v>
      </c>
      <c r="I1" s="1757" t="s">
        <v>4606</v>
      </c>
      <c r="J1" s="1757" t="s">
        <v>4941</v>
      </c>
      <c r="K1" s="1757" t="s">
        <v>4607</v>
      </c>
      <c r="L1" s="1757" t="s">
        <v>6446</v>
      </c>
      <c r="M1" s="1757" t="s">
        <v>6447</v>
      </c>
      <c r="N1" s="1757" t="s">
        <v>4608</v>
      </c>
      <c r="O1" s="1757" t="s">
        <v>4384</v>
      </c>
      <c r="P1" s="1757" t="s">
        <v>4943</v>
      </c>
      <c r="Q1" s="1757" t="s">
        <v>4381</v>
      </c>
      <c r="R1" s="1757" t="s">
        <v>4382</v>
      </c>
      <c r="S1" s="1757" t="s">
        <v>4383</v>
      </c>
      <c r="T1" s="1757" t="s">
        <v>4379</v>
      </c>
      <c r="U1" s="1757" t="s">
        <v>4609</v>
      </c>
      <c r="V1" s="1757" t="s">
        <v>4610</v>
      </c>
      <c r="W1" s="1757" t="s">
        <v>4171</v>
      </c>
      <c r="X1" s="1757" t="s">
        <v>4939</v>
      </c>
      <c r="Y1" s="1757" t="s">
        <v>4940</v>
      </c>
      <c r="Z1" s="1757" t="s">
        <v>4386</v>
      </c>
      <c r="AA1" s="1757" t="s">
        <v>4387</v>
      </c>
      <c r="AB1" s="1757" t="s">
        <v>4389</v>
      </c>
      <c r="AC1" s="1757" t="s">
        <v>4385</v>
      </c>
      <c r="AD1" s="1757" t="s">
        <v>4388</v>
      </c>
      <c r="AE1" s="1757" t="s">
        <v>4378</v>
      </c>
      <c r="AF1" s="1760" t="s">
        <v>4294</v>
      </c>
      <c r="AG1" s="1761" t="s">
        <v>4611</v>
      </c>
      <c r="AH1" s="1762" t="s">
        <v>4612</v>
      </c>
      <c r="AI1" s="1763" t="s">
        <v>4613</v>
      </c>
      <c r="AJ1" s="1757" t="s">
        <v>4614</v>
      </c>
      <c r="AK1" s="1757" t="s">
        <v>4615</v>
      </c>
      <c r="AL1" s="948" t="s">
        <v>4768</v>
      </c>
      <c r="AM1" s="948" t="s">
        <v>4798</v>
      </c>
      <c r="AN1" s="948" t="s">
        <v>4847</v>
      </c>
      <c r="AO1" s="948" t="s">
        <v>4844</v>
      </c>
      <c r="AP1" s="948" t="s">
        <v>4473</v>
      </c>
      <c r="AQ1" s="948" t="s">
        <v>1064</v>
      </c>
      <c r="AR1" s="948" t="s">
        <v>4846</v>
      </c>
      <c r="AS1" s="1756" t="s">
        <v>4853</v>
      </c>
      <c r="AT1" s="948" t="s">
        <v>4845</v>
      </c>
      <c r="AU1" s="948" t="s">
        <v>4848</v>
      </c>
      <c r="AV1" s="948" t="s">
        <v>4849</v>
      </c>
      <c r="AW1" s="948" t="s">
        <v>4931</v>
      </c>
      <c r="AX1" s="2064" t="s">
        <v>4944</v>
      </c>
      <c r="AY1" s="2065" t="s">
        <v>4945</v>
      </c>
      <c r="AZ1" s="2065" t="s">
        <v>4946</v>
      </c>
      <c r="BA1" s="2065" t="s">
        <v>4947</v>
      </c>
      <c r="BB1" s="2065" t="s">
        <v>4948</v>
      </c>
      <c r="BC1" s="2065" t="s">
        <v>4949</v>
      </c>
      <c r="BD1" s="2065" t="s">
        <v>4950</v>
      </c>
      <c r="BE1" s="2065" t="s">
        <v>4951</v>
      </c>
      <c r="BF1" s="2065" t="s">
        <v>4952</v>
      </c>
      <c r="BG1" s="2065" t="s">
        <v>4953</v>
      </c>
      <c r="BH1" s="2066" t="s">
        <v>4954</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252">
      <c r="A2" s="1758" t="s">
        <v>6084</v>
      </c>
      <c r="B2" s="1758" t="s">
        <v>6085</v>
      </c>
      <c r="C2" s="1755" t="s">
        <v>4942</v>
      </c>
      <c r="D2" s="1758" t="s">
        <v>6086</v>
      </c>
      <c r="E2" s="1755" t="s">
        <v>4531</v>
      </c>
      <c r="F2" s="1758" t="s">
        <v>6411</v>
      </c>
      <c r="G2" s="1758" t="s">
        <v>4495</v>
      </c>
      <c r="H2" s="1758" t="s">
        <v>6087</v>
      </c>
      <c r="I2" s="1758" t="s">
        <v>6410</v>
      </c>
      <c r="J2" s="1755" t="s">
        <v>4531</v>
      </c>
      <c r="K2" s="1755" t="s">
        <v>6088</v>
      </c>
      <c r="L2" s="1758" t="s">
        <v>6448</v>
      </c>
      <c r="M2" s="1758" t="s">
        <v>6449</v>
      </c>
      <c r="N2" s="2994" t="s">
        <v>6557</v>
      </c>
      <c r="O2" s="2994" t="s">
        <v>6558</v>
      </c>
      <c r="P2" s="2998" t="s">
        <v>4531</v>
      </c>
      <c r="Q2" s="2994" t="s">
        <v>6559</v>
      </c>
      <c r="R2" s="1758" t="s">
        <v>6089</v>
      </c>
      <c r="S2" s="1756" t="s">
        <v>6090</v>
      </c>
      <c r="T2" s="1758"/>
      <c r="U2" s="1758"/>
      <c r="V2" s="1755" t="s">
        <v>4531</v>
      </c>
      <c r="W2" s="1759" t="s">
        <v>6554</v>
      </c>
      <c r="X2" s="1759" t="s">
        <v>6405</v>
      </c>
      <c r="Y2" s="1759" t="s">
        <v>4171</v>
      </c>
      <c r="Z2" s="1755" t="s">
        <v>4797</v>
      </c>
      <c r="AA2" s="1759" t="str">
        <f>UPPER(Z2)</f>
        <v>XUÂN HƯNG</v>
      </c>
      <c r="AB2" s="1758" t="s">
        <v>6556</v>
      </c>
      <c r="AC2" s="1758" t="str">
        <f>UPPER(AB2)</f>
        <v>XÂY DỰNG MỚI TBA 3P-1000KVA CÔNG TY CỔ PHẦN XUÂN TRƯỜNG SOLAR</v>
      </c>
      <c r="AD2" s="1759" t="str">
        <f>IF(Z2&lt;&gt;0,"Xã "&amp;Z2&amp;" - ","")&amp;"Huyện Xuân Lộc - Tỉnh Đồng Nai"</f>
        <v>Xã Xuân Hưng - Huyện Xuân Lộc - Tỉnh Đồng Nai</v>
      </c>
      <c r="AE2" s="1759" t="str">
        <f>UPPER(AD2)</f>
        <v>XÃ XUÂN HƯNG - HUYỆN XUÂN LỘC - TỈNH ĐỒNG NAI</v>
      </c>
      <c r="AF2" s="1764" t="s">
        <v>4616</v>
      </c>
      <c r="AG2" s="1765" t="s">
        <v>4617</v>
      </c>
      <c r="AH2" s="963" t="s">
        <v>4170</v>
      </c>
      <c r="AI2" s="1767"/>
      <c r="AJ2" s="1932" t="s">
        <v>6551</v>
      </c>
      <c r="AK2" s="1932" t="s">
        <v>6451</v>
      </c>
      <c r="AL2" s="2028" t="s">
        <v>6452</v>
      </c>
      <c r="AM2" s="2028" t="s">
        <v>6453</v>
      </c>
      <c r="AN2" s="2935">
        <f ca="1">Solieu!D3</f>
        <v>1</v>
      </c>
      <c r="AO2" s="2935">
        <f ca="1">Solieu!D4</f>
        <v>1</v>
      </c>
      <c r="AP2" s="2935">
        <f ca="1">Solieu!D5</f>
        <v>1</v>
      </c>
      <c r="AQ2" s="2935">
        <f ca="1">Solieu!D6</f>
        <v>1</v>
      </c>
      <c r="AR2" s="2935">
        <f ca="1">Solieu!D7</f>
        <v>2</v>
      </c>
      <c r="AS2" s="2935">
        <f ca="1">Solieu!D8</f>
        <v>2</v>
      </c>
      <c r="AT2" s="2935">
        <f ca="1">Solieu!D9</f>
        <v>3</v>
      </c>
      <c r="AU2" s="2935">
        <f ca="1">Solieu!D10</f>
        <v>4</v>
      </c>
      <c r="AV2" s="2935">
        <f ca="1">Solieu!D11</f>
        <v>5</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4955</v>
      </c>
      <c r="AY2" s="2054" t="s">
        <v>6412</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2.4">
      <c r="A3" s="1758" t="s">
        <v>4908</v>
      </c>
      <c r="B3" s="1758" t="s">
        <v>4909</v>
      </c>
      <c r="C3" s="1755" t="s">
        <v>4531</v>
      </c>
      <c r="D3" s="1758" t="s">
        <v>4910</v>
      </c>
      <c r="E3" s="1755" t="s">
        <v>4531</v>
      </c>
      <c r="F3" s="1758" t="s">
        <v>4911</v>
      </c>
      <c r="G3" s="1758" t="s">
        <v>4912</v>
      </c>
      <c r="H3" s="1758" t="s">
        <v>4913</v>
      </c>
      <c r="I3" s="1758" t="str">
        <f>F3</f>
        <v>………………………</v>
      </c>
      <c r="J3" s="1755" t="s">
        <v>4942</v>
      </c>
      <c r="K3" s="1758" t="s">
        <v>4917</v>
      </c>
      <c r="L3" s="1758"/>
      <c r="M3" s="1758"/>
      <c r="N3" s="1758" t="s">
        <v>4915</v>
      </c>
      <c r="O3" s="1758" t="s">
        <v>4916</v>
      </c>
      <c r="P3" s="1755" t="s">
        <v>4531</v>
      </c>
      <c r="Q3" s="1758" t="s">
        <v>4914</v>
      </c>
      <c r="R3" s="1756"/>
      <c r="S3" s="1756"/>
      <c r="T3" s="962"/>
      <c r="U3" s="962"/>
      <c r="V3" s="1755" t="s">
        <v>4531</v>
      </c>
      <c r="Z3" s="1755" t="s">
        <v>4772</v>
      </c>
      <c r="AB3" s="1758" t="s">
        <v>4773</v>
      </c>
      <c r="AC3" s="1758" t="str">
        <f>UPPER(AB3)</f>
        <v>ĐƯỜNG DÂY TRUNG THẾ &amp; TBA 1 PHA 25KVA - 12,7/0,23 KV HỘ DUY TRƯỜNG</v>
      </c>
      <c r="AH3" s="1766" t="s">
        <v>6426</v>
      </c>
      <c r="AL3" s="1214" t="s">
        <v>4769</v>
      </c>
      <c r="AX3" s="964" t="s">
        <v>4956</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 thickBot="1">
      <c r="A4" s="937"/>
      <c r="B4" s="937"/>
      <c r="C4" s="1213"/>
      <c r="D4" s="937"/>
      <c r="E4" s="1213"/>
      <c r="F4" s="937"/>
      <c r="G4" s="937"/>
      <c r="H4" s="937"/>
      <c r="I4" s="937"/>
      <c r="J4" s="1213"/>
      <c r="K4" s="948"/>
      <c r="L4" s="948"/>
      <c r="P4" s="1213"/>
      <c r="R4" s="964"/>
      <c r="S4" s="937"/>
      <c r="V4" s="1755" t="s">
        <v>6450</v>
      </c>
      <c r="Z4" s="1755" t="s">
        <v>4797</v>
      </c>
      <c r="AB4" s="1758" t="s">
        <v>4759</v>
      </c>
      <c r="AD4" s="963">
        <v>0</v>
      </c>
      <c r="AH4" s="963" t="s">
        <v>4170</v>
      </c>
      <c r="AL4" s="1214" t="s">
        <v>6409</v>
      </c>
      <c r="AT4" s="1336" t="s">
        <v>4925</v>
      </c>
      <c r="AU4" s="1336" t="s">
        <v>4926</v>
      </c>
      <c r="AV4" s="1336" t="s">
        <v>4927</v>
      </c>
      <c r="AW4" s="2063" t="s">
        <v>4928</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4942</v>
      </c>
      <c r="Z5" s="1755" t="s">
        <v>4918</v>
      </c>
      <c r="AB5" s="964" t="s">
        <v>4879</v>
      </c>
      <c r="AT5" s="2075" t="str">
        <f>AJ2</f>
        <v>270/028</v>
      </c>
      <c r="AU5" s="2045">
        <v>72</v>
      </c>
      <c r="AV5" s="1766" t="s">
        <v>4929</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5" t="s">
        <v>4957</v>
      </c>
      <c r="AT6" s="1766">
        <f>AU5</f>
        <v>72</v>
      </c>
      <c r="AU6" s="2045">
        <v>75</v>
      </c>
      <c r="AV6" s="1766" t="s">
        <v>4930</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6444</v>
      </c>
      <c r="AT7" s="1766">
        <f t="shared" ref="AT7:AT15" si="6">AU6</f>
        <v>75</v>
      </c>
      <c r="AU7" s="2045">
        <v>83</v>
      </c>
      <c r="AV7" s="1766" t="s">
        <v>4929</v>
      </c>
      <c r="AW7" s="2046"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4929</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4929</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6">
        <f t="shared" si="6"/>
        <v>91</v>
      </c>
      <c r="AU10" s="2045"/>
      <c r="AV10" s="1766" t="s">
        <v>4930</v>
      </c>
      <c r="AW10" s="2046" t="str">
        <f t="shared" si="5"/>
        <v/>
      </c>
    </row>
    <row r="11" spans="1:69" ht="43.2" customHeight="1">
      <c r="AT11" s="1766">
        <f t="shared" si="6"/>
        <v>0</v>
      </c>
      <c r="AU11" s="2045"/>
      <c r="AV11" s="1766" t="s">
        <v>4929</v>
      </c>
      <c r="AW11" s="2046" t="str">
        <f t="shared" si="5"/>
        <v/>
      </c>
    </row>
    <row r="12" spans="1:69" ht="43.2" customHeight="1">
      <c r="AT12" s="1766">
        <f t="shared" si="6"/>
        <v>0</v>
      </c>
      <c r="AU12" s="2045"/>
      <c r="AV12" s="1766" t="s">
        <v>4930</v>
      </c>
      <c r="AW12" s="2046" t="str">
        <f t="shared" si="5"/>
        <v/>
      </c>
    </row>
    <row r="13" spans="1:69">
      <c r="AT13" s="1766">
        <f t="shared" si="6"/>
        <v>0</v>
      </c>
      <c r="AU13" s="774"/>
      <c r="AV13" s="1766" t="s">
        <v>4929</v>
      </c>
      <c r="AW13" s="2046" t="str">
        <f t="shared" si="5"/>
        <v/>
      </c>
    </row>
    <row r="14" spans="1:69">
      <c r="AT14" s="1766">
        <f t="shared" si="6"/>
        <v>0</v>
      </c>
      <c r="AU14" s="774"/>
      <c r="AV14" s="1766" t="s">
        <v>4930</v>
      </c>
      <c r="AW14" s="2046" t="str">
        <f t="shared" si="5"/>
        <v/>
      </c>
    </row>
    <row r="15" spans="1:69">
      <c r="AT15" s="1766">
        <f t="shared" si="6"/>
        <v>0</v>
      </c>
      <c r="AU15" s="774"/>
      <c r="AV15" s="1766" t="s">
        <v>4929</v>
      </c>
      <c r="AW15" s="2046" t="str">
        <f t="shared" si="5"/>
        <v/>
      </c>
    </row>
    <row r="16" spans="1:69">
      <c r="AT16" s="774"/>
      <c r="AU16" s="774"/>
      <c r="AV16" s="1766"/>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3761</v>
      </c>
      <c r="C3" s="87"/>
      <c r="D3" s="87"/>
      <c r="E3" s="87"/>
      <c r="F3" s="88"/>
      <c r="G3" s="89"/>
      <c r="H3" s="90"/>
      <c r="I3" s="90"/>
    </row>
    <row r="4" spans="1:13" ht="13.8">
      <c r="A4" s="91"/>
      <c r="B4" s="3044" t="s">
        <v>1708</v>
      </c>
      <c r="C4" s="3044" t="s">
        <v>2281</v>
      </c>
      <c r="D4" s="78" t="s">
        <v>2282</v>
      </c>
      <c r="E4" s="78" t="s">
        <v>2283</v>
      </c>
      <c r="F4" s="92">
        <f>pp_NC!GV5</f>
        <v>0</v>
      </c>
      <c r="G4" s="92" t="str">
        <f>'pp3p2m '!ED6</f>
        <v>B</v>
      </c>
      <c r="H4" s="92" t="s">
        <v>1038</v>
      </c>
      <c r="I4" s="92" t="s">
        <v>1038</v>
      </c>
      <c r="J4" s="93"/>
      <c r="K4" s="89"/>
      <c r="L4" s="89"/>
      <c r="M4" s="89"/>
    </row>
    <row r="5" spans="1:13" ht="13.8">
      <c r="A5" s="79" t="s">
        <v>2284</v>
      </c>
      <c r="B5" s="3045"/>
      <c r="C5" s="3045"/>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5003</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5004</v>
      </c>
      <c r="D116" s="22" t="s">
        <v>5002</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5005</v>
      </c>
      <c r="D119" s="19" t="s">
        <v>2555</v>
      </c>
      <c r="E119" s="17"/>
      <c r="F119" s="4"/>
      <c r="G119" s="8">
        <f t="shared" si="5"/>
        <v>0</v>
      </c>
      <c r="H119" s="4"/>
      <c r="I119" s="4"/>
      <c r="J119" s="4"/>
    </row>
    <row r="120" spans="1:10" s="1" customFormat="1" ht="14.4">
      <c r="A120" s="9" t="str">
        <f>chitiet!B1533</f>
        <v>Nth-T</v>
      </c>
      <c r="B120" s="18">
        <f>IF(E120=0,"",COUNTIF($B$92:$B119,"&gt;0")+1)</f>
        <v>1</v>
      </c>
      <c r="C120" s="21" t="s">
        <v>5006</v>
      </c>
      <c r="D120" s="22" t="s">
        <v>5002</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5007</v>
      </c>
      <c r="D122" s="19" t="s">
        <v>2555</v>
      </c>
      <c r="E122" s="17"/>
      <c r="F122" s="4"/>
      <c r="G122" s="8">
        <f t="shared" si="5"/>
        <v>0</v>
      </c>
      <c r="H122" s="4"/>
      <c r="I122" s="4"/>
      <c r="J122" s="4"/>
    </row>
    <row r="123" spans="1:10" s="1" customFormat="1" ht="13.8">
      <c r="A123" s="9" t="str">
        <f>chitiet!B1536</f>
        <v>BM16300</v>
      </c>
      <c r="B123" s="18">
        <f>IF(E123=0,"",COUNTIF($E$92:$E123,"&gt;0"))</f>
        <v>2</v>
      </c>
      <c r="C123" s="37" t="s">
        <v>4971</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5008</v>
      </c>
      <c r="D125" s="109" t="s">
        <v>5002</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5007</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4972</v>
      </c>
      <c r="D130" s="84" t="s">
        <v>2555</v>
      </c>
      <c r="E130" s="102" t="e">
        <f>E129</f>
        <v>#N/A</v>
      </c>
      <c r="F130" s="91"/>
      <c r="G130" s="103" t="e">
        <f t="shared" si="5"/>
        <v>#N/A</v>
      </c>
      <c r="H130" s="91"/>
      <c r="I130" s="91"/>
      <c r="J130" s="91"/>
    </row>
    <row r="131" spans="1:10" ht="13.8">
      <c r="A131" s="106" t="str">
        <f>chitiet!B1544</f>
        <v>CSD</v>
      </c>
      <c r="B131" s="100"/>
      <c r="C131" s="101" t="s">
        <v>4973</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4972</v>
      </c>
      <c r="D133" s="19" t="s">
        <v>2555</v>
      </c>
      <c r="E133" s="17"/>
      <c r="F133" s="4"/>
      <c r="G133" s="8">
        <f t="shared" si="5"/>
        <v>0</v>
      </c>
      <c r="H133" s="4"/>
      <c r="I133" s="4"/>
      <c r="J133" s="4"/>
    </row>
    <row r="134" spans="1:10" s="1" customFormat="1" ht="13.8">
      <c r="A134" s="9" t="str">
        <f>chitiet!B1547</f>
        <v>CSDI</v>
      </c>
      <c r="B134" s="18"/>
      <c r="C134" s="16" t="s">
        <v>5037</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4972</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5024</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5007</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4971</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5007</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5007</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3762</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92" t="s">
        <v>3764</v>
      </c>
      <c r="B4" s="3056" t="s">
        <v>3765</v>
      </c>
      <c r="C4" s="3056" t="s">
        <v>4398</v>
      </c>
      <c r="D4" s="3056" t="s">
        <v>3766</v>
      </c>
      <c r="E4" s="3056" t="s">
        <v>3767</v>
      </c>
      <c r="F4" s="3056" t="s">
        <v>3768</v>
      </c>
      <c r="G4" s="3056" t="s">
        <v>3769</v>
      </c>
      <c r="H4" s="3056" t="s">
        <v>3770</v>
      </c>
      <c r="I4" s="3056" t="s">
        <v>3771</v>
      </c>
      <c r="J4" s="3086" t="s">
        <v>3772</v>
      </c>
      <c r="K4" s="3086" t="s">
        <v>3773</v>
      </c>
      <c r="L4" s="3086" t="s">
        <v>3774</v>
      </c>
      <c r="M4" s="3089"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79" t="s">
        <v>3778</v>
      </c>
      <c r="BR4" s="3080"/>
      <c r="BS4" s="3080"/>
      <c r="BT4" s="3080"/>
      <c r="BU4" s="3080"/>
      <c r="BV4" s="3080"/>
      <c r="BW4" s="3080"/>
      <c r="BX4" s="3080"/>
      <c r="BY4" s="3080"/>
      <c r="BZ4" s="3080"/>
      <c r="CA4" s="3080"/>
      <c r="CB4" s="3081"/>
      <c r="CC4" s="3060" t="s">
        <v>2387</v>
      </c>
      <c r="CD4" s="3060" t="s">
        <v>2390</v>
      </c>
      <c r="CE4" s="3060" t="s">
        <v>2393</v>
      </c>
      <c r="CF4" s="3060" t="s">
        <v>2392</v>
      </c>
      <c r="CG4" s="3060" t="s">
        <v>2394</v>
      </c>
      <c r="CH4" s="3060"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77" t="s">
        <v>3780</v>
      </c>
      <c r="DG4" s="3077" t="s">
        <v>3781</v>
      </c>
      <c r="DH4" s="3050" t="s">
        <v>3782</v>
      </c>
      <c r="DI4" s="3050" t="s">
        <v>3783</v>
      </c>
      <c r="DJ4" s="3050" t="s">
        <v>3784</v>
      </c>
      <c r="DK4" s="3050" t="s">
        <v>3785</v>
      </c>
      <c r="DL4" s="3050" t="s">
        <v>3786</v>
      </c>
      <c r="DM4" s="3050" t="s">
        <v>3787</v>
      </c>
      <c r="DN4" s="3050" t="s">
        <v>3788</v>
      </c>
      <c r="DO4" s="3050" t="s">
        <v>3789</v>
      </c>
      <c r="DP4" s="3050" t="s">
        <v>3790</v>
      </c>
      <c r="DQ4" s="3048" t="s">
        <v>1733</v>
      </c>
      <c r="DR4" s="3050" t="s">
        <v>3791</v>
      </c>
      <c r="DS4" s="3048" t="s">
        <v>4086</v>
      </c>
      <c r="DT4" s="3048" t="s">
        <v>3793</v>
      </c>
      <c r="DU4" s="3048" t="s">
        <v>3794</v>
      </c>
      <c r="DV4" s="3048" t="s">
        <v>3795</v>
      </c>
      <c r="DW4" s="3048" t="s">
        <v>3796</v>
      </c>
      <c r="DX4" s="3048" t="s">
        <v>3797</v>
      </c>
      <c r="DY4" s="3048" t="s">
        <v>3798</v>
      </c>
      <c r="DZ4" s="3048" t="s">
        <v>3799</v>
      </c>
      <c r="EA4" s="3048" t="s">
        <v>3800</v>
      </c>
      <c r="EB4" s="3048" t="s">
        <v>3801</v>
      </c>
      <c r="EC4" s="3048" t="s">
        <v>3802</v>
      </c>
      <c r="ED4" s="3052" t="s">
        <v>788</v>
      </c>
      <c r="EE4" s="3054" t="s">
        <v>1405</v>
      </c>
      <c r="EF4" s="3054" t="s">
        <v>1375</v>
      </c>
      <c r="EG4" s="3058" t="s">
        <v>675</v>
      </c>
      <c r="EH4" s="3058" t="s">
        <v>1898</v>
      </c>
      <c r="EI4" s="3058" t="s">
        <v>1129</v>
      </c>
      <c r="EJ4" s="3058" t="s">
        <v>1921</v>
      </c>
      <c r="EK4" s="3058" t="s">
        <v>394</v>
      </c>
      <c r="EL4" s="3058" t="s">
        <v>1912</v>
      </c>
      <c r="EM4" s="3058" t="s">
        <v>630</v>
      </c>
      <c r="EN4" s="3058" t="s">
        <v>629</v>
      </c>
      <c r="EO4" s="3058" t="s">
        <v>631</v>
      </c>
      <c r="EP4" s="3046" t="s">
        <v>3803</v>
      </c>
      <c r="EQ4" s="3046" t="s">
        <v>3804</v>
      </c>
      <c r="ER4" s="3046" t="s">
        <v>3805</v>
      </c>
      <c r="ES4" s="3046" t="s">
        <v>3806</v>
      </c>
      <c r="ET4" s="3060" t="s">
        <v>3807</v>
      </c>
      <c r="EU4" s="3060" t="s">
        <v>3808</v>
      </c>
      <c r="EV4" s="3060" t="s">
        <v>3809</v>
      </c>
      <c r="EW4" s="3060" t="s">
        <v>3810</v>
      </c>
      <c r="EX4" s="3060" t="s">
        <v>3811</v>
      </c>
      <c r="EY4" s="3060" t="s">
        <v>3812</v>
      </c>
      <c r="EZ4" s="3060" t="s">
        <v>3813</v>
      </c>
      <c r="FA4" s="3060" t="s">
        <v>3814</v>
      </c>
      <c r="FB4" s="3046" t="s">
        <v>3815</v>
      </c>
      <c r="FC4" s="3046" t="s">
        <v>3816</v>
      </c>
      <c r="FD4" s="3046" t="s">
        <v>3817</v>
      </c>
      <c r="FE4" s="3046" t="s">
        <v>3818</v>
      </c>
      <c r="FF4" s="3046" t="s">
        <v>3819</v>
      </c>
      <c r="FG4" s="3046" t="s">
        <v>3820</v>
      </c>
      <c r="FH4" s="3046" t="s">
        <v>3821</v>
      </c>
      <c r="FI4" s="3046" t="s">
        <v>3822</v>
      </c>
      <c r="FJ4" s="3046" t="s">
        <v>3823</v>
      </c>
      <c r="FK4" s="3046" t="s">
        <v>3824</v>
      </c>
      <c r="FL4" s="3046" t="s">
        <v>4328</v>
      </c>
      <c r="FM4" s="3046" t="s">
        <v>3825</v>
      </c>
      <c r="FN4" s="3046" t="s">
        <v>3826</v>
      </c>
      <c r="FO4" s="3046" t="s">
        <v>3827</v>
      </c>
      <c r="FP4" s="3046" t="s">
        <v>3828</v>
      </c>
      <c r="FQ4" s="3046" t="s">
        <v>3829</v>
      </c>
      <c r="FR4" s="3060" t="s">
        <v>3830</v>
      </c>
      <c r="FS4" s="3060" t="s">
        <v>3831</v>
      </c>
      <c r="FT4" s="3060" t="s">
        <v>3832</v>
      </c>
      <c r="FU4" s="3064" t="s">
        <v>3833</v>
      </c>
      <c r="FV4" s="3064" t="s">
        <v>3834</v>
      </c>
      <c r="FW4" s="3064" t="s">
        <v>3835</v>
      </c>
      <c r="FX4" s="3064" t="s">
        <v>3836</v>
      </c>
      <c r="FY4" s="3064" t="s">
        <v>3837</v>
      </c>
      <c r="FZ4" s="3064" t="s">
        <v>3838</v>
      </c>
      <c r="GA4" s="3064" t="s">
        <v>3839</v>
      </c>
      <c r="GB4" s="3064" t="s">
        <v>3840</v>
      </c>
      <c r="GC4" s="3064" t="s">
        <v>3841</v>
      </c>
      <c r="GD4" s="3064" t="s">
        <v>3842</v>
      </c>
      <c r="GE4" s="3064" t="s">
        <v>3843</v>
      </c>
      <c r="GF4" s="3064" t="s">
        <v>3844</v>
      </c>
      <c r="GG4" s="3064" t="s">
        <v>3845</v>
      </c>
      <c r="GH4" s="3066" t="s">
        <v>3846</v>
      </c>
      <c r="GI4" s="3066" t="s">
        <v>3847</v>
      </c>
      <c r="GJ4" s="3074" t="s">
        <v>3848</v>
      </c>
      <c r="GK4" s="3074" t="s">
        <v>3849</v>
      </c>
      <c r="GL4" s="3066" t="s">
        <v>3850</v>
      </c>
      <c r="GM4" s="3074" t="s">
        <v>3851</v>
      </c>
      <c r="GN4" s="3074" t="s">
        <v>3852</v>
      </c>
      <c r="GO4" s="3066" t="s">
        <v>3853</v>
      </c>
      <c r="GP4" s="3066" t="s">
        <v>3854</v>
      </c>
      <c r="GQ4" s="3066" t="s">
        <v>3855</v>
      </c>
      <c r="GR4" s="3064" t="s">
        <v>3856</v>
      </c>
      <c r="GS4" s="3064" t="s">
        <v>3670</v>
      </c>
      <c r="GT4" s="3072" t="s">
        <v>3857</v>
      </c>
      <c r="GU4" s="3070"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93"/>
      <c r="B5" s="3057"/>
      <c r="C5" s="3057"/>
      <c r="D5" s="3057"/>
      <c r="E5" s="3057"/>
      <c r="F5" s="3057"/>
      <c r="G5" s="3057"/>
      <c r="H5" s="3057"/>
      <c r="I5" s="3057"/>
      <c r="J5" s="3087"/>
      <c r="K5" s="3088"/>
      <c r="L5" s="3088"/>
      <c r="M5" s="3078"/>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61"/>
      <c r="CD5" s="3061"/>
      <c r="CE5" s="3061"/>
      <c r="CF5" s="3061"/>
      <c r="CG5" s="3061"/>
      <c r="CH5" s="3061"/>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78"/>
      <c r="DG5" s="3078"/>
      <c r="DH5" s="3051"/>
      <c r="DI5" s="3051"/>
      <c r="DJ5" s="3051"/>
      <c r="DK5" s="3051"/>
      <c r="DL5" s="3051"/>
      <c r="DM5" s="3051"/>
      <c r="DN5" s="3051"/>
      <c r="DO5" s="3051"/>
      <c r="DP5" s="3051"/>
      <c r="DQ5" s="3049"/>
      <c r="DR5" s="3051"/>
      <c r="DS5" s="3049"/>
      <c r="DT5" s="3049"/>
      <c r="DU5" s="3049"/>
      <c r="DV5" s="3049"/>
      <c r="DW5" s="3049"/>
      <c r="DX5" s="3049"/>
      <c r="DY5" s="3049"/>
      <c r="DZ5" s="3049"/>
      <c r="EA5" s="3049"/>
      <c r="EB5" s="3049"/>
      <c r="EC5" s="3049"/>
      <c r="ED5" s="3053"/>
      <c r="EE5" s="3055"/>
      <c r="EF5" s="3055"/>
      <c r="EG5" s="3059"/>
      <c r="EH5" s="3059"/>
      <c r="EI5" s="3059"/>
      <c r="EJ5" s="3059"/>
      <c r="EK5" s="3059"/>
      <c r="EL5" s="3059"/>
      <c r="EM5" s="3059"/>
      <c r="EN5" s="3059"/>
      <c r="EO5" s="3059"/>
      <c r="EP5" s="3047"/>
      <c r="EQ5" s="3047"/>
      <c r="ER5" s="3047"/>
      <c r="ES5" s="3047"/>
      <c r="ET5" s="3061"/>
      <c r="EU5" s="3061"/>
      <c r="EV5" s="3061"/>
      <c r="EW5" s="3061"/>
      <c r="EX5" s="3061"/>
      <c r="EY5" s="3061"/>
      <c r="EZ5" s="3061"/>
      <c r="FA5" s="3061"/>
      <c r="FB5" s="3047"/>
      <c r="FC5" s="3047"/>
      <c r="FD5" s="3047"/>
      <c r="FE5" s="3047"/>
      <c r="FF5" s="3047"/>
      <c r="FG5" s="3047"/>
      <c r="FH5" s="3047"/>
      <c r="FI5" s="3047"/>
      <c r="FJ5" s="3047"/>
      <c r="FK5" s="3047"/>
      <c r="FL5" s="3047"/>
      <c r="FM5" s="3047"/>
      <c r="FN5" s="3047"/>
      <c r="FO5" s="3047"/>
      <c r="FP5" s="3047"/>
      <c r="FQ5" s="3047"/>
      <c r="FR5" s="3061"/>
      <c r="FS5" s="3061"/>
      <c r="FT5" s="3061"/>
      <c r="FU5" s="3065"/>
      <c r="FV5" s="3065"/>
      <c r="FW5" s="3065"/>
      <c r="FX5" s="3065"/>
      <c r="FY5" s="3065"/>
      <c r="FZ5" s="3065"/>
      <c r="GA5" s="3065"/>
      <c r="GB5" s="3065"/>
      <c r="GC5" s="3065"/>
      <c r="GD5" s="3065"/>
      <c r="GE5" s="3065"/>
      <c r="GF5" s="3065"/>
      <c r="GG5" s="3065"/>
      <c r="GH5" s="3067"/>
      <c r="GI5" s="3067"/>
      <c r="GJ5" s="3075"/>
      <c r="GK5" s="3075"/>
      <c r="GL5" s="3067"/>
      <c r="GM5" s="3075"/>
      <c r="GN5" s="3075"/>
      <c r="GO5" s="3067"/>
      <c r="GP5" s="3067"/>
      <c r="GQ5" s="3067"/>
      <c r="GR5" s="3065"/>
      <c r="GS5" s="3065"/>
      <c r="GT5" s="3073"/>
      <c r="GU5" s="307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2"/>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68"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3"/>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4"/>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2"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5"/>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63"/>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90" t="s">
        <v>2592</v>
      </c>
      <c r="B184" s="3091"/>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76">
        <f>1.02*D186</f>
        <v>0</v>
      </c>
      <c r="W186" s="3076"/>
      <c r="X186" s="3076"/>
      <c r="Y186" s="3076"/>
      <c r="Z186" s="3076"/>
      <c r="AA186" s="3076"/>
      <c r="AB186" s="3076"/>
      <c r="AC186" s="3076"/>
      <c r="AD186" s="3076"/>
      <c r="AE186" s="3076"/>
      <c r="AF186" s="3076"/>
      <c r="AG186" s="3076"/>
      <c r="AH186" s="3076"/>
      <c r="AI186" s="3076"/>
      <c r="AJ186" s="3076"/>
      <c r="AK186" s="3076"/>
      <c r="AL186" s="3076"/>
      <c r="AM186" s="3076"/>
      <c r="AN186" s="3076"/>
      <c r="AO186" s="3076"/>
      <c r="AP186" s="3076"/>
      <c r="AQ186" s="3076"/>
      <c r="AR186" s="3076"/>
      <c r="AS186" s="3076"/>
      <c r="AT186" s="3076"/>
      <c r="AU186" s="3076"/>
      <c r="AV186" s="3076"/>
      <c r="AW186" s="3076"/>
      <c r="AX186" s="3076"/>
      <c r="AY186" s="3076"/>
      <c r="AZ186" s="3076"/>
      <c r="BA186" s="3076"/>
      <c r="BB186" s="3076"/>
      <c r="BC186" s="3076"/>
      <c r="BD186" s="3076"/>
      <c r="BE186" s="3076"/>
      <c r="BF186" s="3076"/>
      <c r="BG186" s="3076"/>
      <c r="BH186" s="3076"/>
      <c r="BI186" s="3076"/>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76">
        <f>1.02*D187</f>
        <v>0</v>
      </c>
      <c r="W187" s="3076"/>
      <c r="X187" s="3076"/>
      <c r="Y187" s="3076"/>
      <c r="Z187" s="3076"/>
      <c r="AA187" s="3076"/>
      <c r="AB187" s="3076"/>
      <c r="AC187" s="3076"/>
      <c r="AD187" s="3076"/>
      <c r="AE187" s="3076"/>
      <c r="AF187" s="3076"/>
      <c r="AG187" s="3076"/>
      <c r="AH187" s="3076"/>
      <c r="AI187" s="3076"/>
      <c r="AJ187" s="3076"/>
      <c r="AK187" s="3076"/>
      <c r="AL187" s="3076"/>
      <c r="AM187" s="3076"/>
      <c r="AN187" s="3076"/>
      <c r="AO187" s="3076"/>
      <c r="AP187" s="3076"/>
      <c r="AQ187" s="3076"/>
      <c r="AR187" s="3076"/>
      <c r="AS187" s="3076"/>
      <c r="AT187" s="3076"/>
      <c r="AU187" s="3076"/>
      <c r="AV187" s="3076"/>
      <c r="AW187" s="3076"/>
      <c r="AX187" s="3076"/>
      <c r="AY187" s="3076"/>
      <c r="AZ187" s="3076"/>
      <c r="BA187" s="3076"/>
      <c r="BB187" s="3076"/>
      <c r="BC187" s="3076"/>
      <c r="BD187" s="3076"/>
      <c r="BE187" s="3076"/>
      <c r="BF187" s="3076"/>
      <c r="BG187" s="3076"/>
      <c r="BH187" s="3076"/>
      <c r="BI187" s="3076"/>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76">
        <f>1.02*D188</f>
        <v>0</v>
      </c>
      <c r="W188" s="3076"/>
      <c r="X188" s="3076"/>
      <c r="Y188" s="3076"/>
      <c r="Z188" s="3076"/>
      <c r="AA188" s="3076"/>
      <c r="AB188" s="3076"/>
      <c r="AC188" s="3076"/>
      <c r="AD188" s="3076"/>
      <c r="AE188" s="3076"/>
      <c r="AF188" s="3076"/>
      <c r="AG188" s="3076"/>
      <c r="AH188" s="3076"/>
      <c r="AI188" s="3076"/>
      <c r="AJ188" s="3076"/>
      <c r="AK188" s="3076"/>
      <c r="AL188" s="3076"/>
      <c r="AM188" s="3076"/>
      <c r="AN188" s="3076"/>
      <c r="AO188" s="3076"/>
      <c r="AP188" s="3076"/>
      <c r="AQ188" s="3076"/>
      <c r="AR188" s="3076"/>
      <c r="AS188" s="3076"/>
      <c r="AT188" s="3076"/>
      <c r="AU188" s="3076"/>
      <c r="AV188" s="3076"/>
      <c r="AW188" s="3076"/>
      <c r="AX188" s="3076"/>
      <c r="AY188" s="3076"/>
      <c r="AZ188" s="3076"/>
      <c r="BA188" s="3076"/>
      <c r="BB188" s="3076"/>
      <c r="BC188" s="3076"/>
      <c r="BD188" s="3076"/>
      <c r="BE188" s="3076"/>
      <c r="BF188" s="3076"/>
      <c r="BG188" s="3076"/>
      <c r="BH188" s="3076"/>
      <c r="BI188" s="3076"/>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9" t="e">
        <f>#REF!&amp;", "&amp;#REF!</f>
        <v>#REF!</v>
      </c>
      <c r="B4" s="3109"/>
      <c r="C4" s="3109"/>
      <c r="D4" s="3109"/>
      <c r="E4" s="3109"/>
      <c r="F4" s="3109"/>
      <c r="G4" s="3109"/>
      <c r="H4" s="3109"/>
      <c r="I4" s="3109"/>
      <c r="J4" s="3109"/>
      <c r="K4" s="3109"/>
      <c r="L4" s="3109"/>
      <c r="M4" s="3109"/>
      <c r="N4" s="3109"/>
      <c r="O4" s="3109"/>
      <c r="P4" s="3109"/>
      <c r="Q4" s="3109"/>
      <c r="R4" s="3109"/>
      <c r="S4" s="3109"/>
      <c r="T4" s="3109"/>
      <c r="U4" s="3109"/>
      <c r="V4" s="3109"/>
      <c r="W4" s="3109"/>
      <c r="X4" s="3109"/>
      <c r="Y4" s="3109"/>
      <c r="Z4" s="3109"/>
      <c r="AA4" s="3109"/>
      <c r="AB4" s="3109"/>
      <c r="AC4" s="3109"/>
      <c r="AD4" s="3109"/>
      <c r="AE4" s="3109"/>
      <c r="AF4" s="3109"/>
      <c r="AG4" s="3109"/>
      <c r="AH4" s="3109"/>
      <c r="AI4" s="3109"/>
      <c r="AJ4" s="3109"/>
      <c r="AK4" s="3109"/>
      <c r="AL4" s="3109"/>
      <c r="AM4" s="3109"/>
      <c r="AN4" s="3109"/>
      <c r="AO4" s="3109"/>
      <c r="AP4" s="3109"/>
      <c r="AQ4" s="3109"/>
      <c r="AR4" s="3109"/>
      <c r="AS4" s="3109"/>
      <c r="AT4" s="3109"/>
      <c r="AU4" s="3109"/>
      <c r="AV4" s="3109"/>
      <c r="AW4" s="3109"/>
      <c r="AX4" s="3109"/>
      <c r="AY4" s="3109"/>
      <c r="AZ4" s="3109"/>
      <c r="BA4" s="3109"/>
      <c r="BB4" s="3109"/>
      <c r="BC4" s="3109"/>
      <c r="BD4" s="3109"/>
      <c r="BE4" s="3109"/>
      <c r="BF4" s="3109"/>
      <c r="BG4" s="3109"/>
      <c r="BH4" s="3109"/>
      <c r="BI4" s="3109"/>
      <c r="BJ4" s="3109"/>
      <c r="BK4" s="3109"/>
      <c r="BL4" s="3109"/>
      <c r="BM4" s="3109"/>
      <c r="BN4" s="3109"/>
      <c r="BO4" s="3109"/>
      <c r="BP4" s="3109"/>
      <c r="BQ4" s="3109"/>
      <c r="BR4" s="3109"/>
      <c r="BS4" s="3109"/>
      <c r="BT4" s="3109"/>
      <c r="BU4" s="3109"/>
      <c r="BV4" s="3109"/>
      <c r="BW4" s="3109"/>
      <c r="BX4" s="3109"/>
      <c r="BY4" s="3109"/>
      <c r="BZ4" s="3109"/>
      <c r="CA4" s="3109"/>
      <c r="CB4" s="3109"/>
      <c r="CC4" s="3109"/>
      <c r="CD4" s="3109"/>
      <c r="CE4" s="3109"/>
      <c r="CF4" s="3109"/>
      <c r="CG4" s="3109"/>
      <c r="CH4" s="3109"/>
      <c r="CI4" s="3109"/>
      <c r="CJ4" s="3109"/>
      <c r="CK4" s="3109"/>
      <c r="CL4" s="3109"/>
      <c r="CM4" s="3109"/>
      <c r="CN4" s="3109"/>
      <c r="CO4" s="3109"/>
      <c r="CP4" s="3109"/>
      <c r="CQ4" s="3109"/>
      <c r="CR4" s="3109"/>
      <c r="CS4" s="3109"/>
      <c r="CT4" s="3109"/>
      <c r="CU4" s="3109"/>
      <c r="CV4" s="3109"/>
      <c r="CW4" s="3109"/>
      <c r="CX4" s="3109"/>
      <c r="CY4" s="3109"/>
      <c r="CZ4" s="3109"/>
      <c r="DA4" s="3109"/>
      <c r="DB4" s="3109"/>
      <c r="DC4" s="3109"/>
      <c r="DD4" s="3109"/>
      <c r="DE4" s="3109"/>
      <c r="DF4" s="3109"/>
      <c r="DG4" s="3109"/>
      <c r="DH4" s="3109"/>
      <c r="DI4" s="3109"/>
      <c r="DJ4" s="3109"/>
      <c r="DK4" s="3109"/>
      <c r="DL4" s="3109"/>
      <c r="DM4" s="3109"/>
      <c r="DN4" s="3109"/>
      <c r="DO4" s="3109"/>
      <c r="DP4" s="3109"/>
      <c r="DQ4" s="3109"/>
      <c r="DR4" s="3109"/>
      <c r="DS4" s="3109"/>
      <c r="DT4" s="3109"/>
      <c r="DU4" s="3109"/>
      <c r="DV4" s="3109"/>
      <c r="DW4" s="3109"/>
      <c r="DX4" s="3109"/>
      <c r="DY4" s="3109"/>
      <c r="DZ4" s="3109"/>
      <c r="EA4" s="3109"/>
      <c r="EB4" s="3109"/>
      <c r="EC4" s="3109"/>
    </row>
    <row r="5" spans="1:153" ht="34.5" customHeight="1" thickTop="1" thickBot="1">
      <c r="A5" s="3113" t="s">
        <v>3764</v>
      </c>
      <c r="B5" s="3115" t="s">
        <v>3765</v>
      </c>
      <c r="C5" s="3111" t="s">
        <v>3875</v>
      </c>
      <c r="D5" s="3111" t="s">
        <v>3876</v>
      </c>
      <c r="E5" s="3111" t="s">
        <v>3772</v>
      </c>
      <c r="F5" s="3103" t="s">
        <v>3773</v>
      </c>
      <c r="G5" s="3103" t="s">
        <v>3774</v>
      </c>
      <c r="H5" s="3103" t="s">
        <v>3775</v>
      </c>
      <c r="I5" s="3117" t="s">
        <v>2277</v>
      </c>
      <c r="J5" s="3118"/>
      <c r="K5" s="3119"/>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096" t="s">
        <v>2391</v>
      </c>
      <c r="BP5" s="3096" t="s">
        <v>2394</v>
      </c>
      <c r="BQ5" s="3096" t="s">
        <v>2394</v>
      </c>
      <c r="BR5" s="3096"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2" t="s">
        <v>3882</v>
      </c>
      <c r="CO5" s="3102" t="s">
        <v>3883</v>
      </c>
      <c r="CP5" s="3102" t="s">
        <v>3884</v>
      </c>
      <c r="CQ5" s="3098" t="str">
        <f>"Chuoãi "&amp;EF6&amp;" laép vaøo xaø  CÑX "&amp;EF6 &amp; "-X"</f>
        <v>Chuoãi Polymer laép vaøo xaø  CÑX Polymer-X</v>
      </c>
      <c r="CR5" s="3107" t="s">
        <v>3784</v>
      </c>
      <c r="CS5" s="3105" t="s">
        <v>3885</v>
      </c>
      <c r="CT5" s="3105" t="s">
        <v>3886</v>
      </c>
      <c r="CU5" s="3102" t="s">
        <v>3785</v>
      </c>
      <c r="CV5" s="3102" t="s">
        <v>3786</v>
      </c>
      <c r="CW5" s="3102" t="s">
        <v>3787</v>
      </c>
      <c r="CX5" s="3102" t="s">
        <v>3788</v>
      </c>
      <c r="CY5" s="3100" t="s">
        <v>3887</v>
      </c>
      <c r="CZ5" s="3100" t="s">
        <v>3888</v>
      </c>
      <c r="DA5" s="3100" t="s">
        <v>3889</v>
      </c>
      <c r="DB5" s="3105" t="s">
        <v>3890</v>
      </c>
      <c r="DC5" s="3100" t="s">
        <v>3891</v>
      </c>
      <c r="DD5" s="3105" t="s">
        <v>3795</v>
      </c>
      <c r="DE5" s="3100" t="s">
        <v>3892</v>
      </c>
      <c r="DF5" s="3096" t="s">
        <v>3796</v>
      </c>
      <c r="DG5" s="3096" t="s">
        <v>3797</v>
      </c>
      <c r="DH5" s="3096" t="s">
        <v>3798</v>
      </c>
      <c r="DI5" s="3096" t="s">
        <v>3799</v>
      </c>
      <c r="DJ5" s="3096" t="s">
        <v>3800</v>
      </c>
      <c r="DK5" s="3096" t="s">
        <v>3802</v>
      </c>
      <c r="DL5" s="3096" t="s">
        <v>3802</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5" t="s">
        <v>3893</v>
      </c>
      <c r="EC5" s="3094" t="s">
        <v>2599</v>
      </c>
    </row>
    <row r="6" spans="1:153" s="420" customFormat="1" ht="99.75" customHeight="1" thickTop="1">
      <c r="A6" s="3114"/>
      <c r="B6" s="3116"/>
      <c r="C6" s="3112"/>
      <c r="D6" s="3112"/>
      <c r="E6" s="3112"/>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20"/>
      <c r="BP6" s="3120"/>
      <c r="BQ6" s="3120"/>
      <c r="BR6" s="3120"/>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099"/>
      <c r="CO6" s="3099"/>
      <c r="CP6" s="3099"/>
      <c r="CQ6" s="3099"/>
      <c r="CR6" s="3108"/>
      <c r="CS6" s="3106"/>
      <c r="CT6" s="3106"/>
      <c r="CU6" s="3099"/>
      <c r="CV6" s="3099"/>
      <c r="CW6" s="3099"/>
      <c r="CX6" s="3099"/>
      <c r="CY6" s="3101"/>
      <c r="CZ6" s="3101"/>
      <c r="DA6" s="3101"/>
      <c r="DB6" s="3106"/>
      <c r="DC6" s="3101"/>
      <c r="DD6" s="3106"/>
      <c r="DE6" s="3101"/>
      <c r="DF6" s="3097"/>
      <c r="DG6" s="3097"/>
      <c r="DH6" s="3097"/>
      <c r="DI6" s="3097"/>
      <c r="DJ6" s="3097"/>
      <c r="DK6" s="3097"/>
      <c r="DL6" s="3097"/>
      <c r="DM6" s="3097"/>
      <c r="DN6" s="3097"/>
      <c r="DO6" s="3097"/>
      <c r="DP6" s="3097"/>
      <c r="DQ6" s="3097"/>
      <c r="DR6" s="3097"/>
      <c r="DS6" s="3097"/>
      <c r="DT6" s="3097"/>
      <c r="DU6" s="3097"/>
      <c r="DV6" s="397" t="s">
        <v>3896</v>
      </c>
      <c r="DW6" s="397" t="s">
        <v>3897</v>
      </c>
      <c r="DX6" s="397" t="s">
        <v>3898</v>
      </c>
      <c r="DY6" s="397" t="s">
        <v>3899</v>
      </c>
      <c r="DZ6" s="397" t="s">
        <v>3900</v>
      </c>
      <c r="EA6" s="394" t="s">
        <v>3857</v>
      </c>
      <c r="EB6" s="3106"/>
      <c r="EC6" s="3095"/>
      <c r="ED6" s="418" t="s">
        <v>1038</v>
      </c>
      <c r="EE6" s="419" t="s">
        <v>189</v>
      </c>
      <c r="EF6" s="420" t="str">
        <f>IF(EE6="P","Polymer","treo 2 baùt")</f>
        <v>Polymer</v>
      </c>
    </row>
    <row r="7" spans="1:153" ht="18.899999999999999"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0" t="s">
        <v>1636</v>
      </c>
      <c r="B99" s="3110"/>
      <c r="C99" s="3110"/>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38"/>
  <sheetViews>
    <sheetView workbookViewId="0">
      <pane ySplit="1" topLeftCell="A2" activePane="bottomLeft" state="frozen"/>
      <selection pane="bottomLeft" activeCell="K15" sqref="K15"/>
    </sheetView>
  </sheetViews>
  <sheetFormatPr defaultRowHeight="16.8"/>
  <cols>
    <col min="3" max="3" width="13.08984375" customWidth="1"/>
    <col min="4" max="4" width="38.08984375" customWidth="1"/>
    <col min="5" max="5" width="0" hidden="1" customWidth="1"/>
    <col min="6" max="6" width="17" style="1324" hidden="1" customWidth="1"/>
    <col min="7" max="9" width="0" hidden="1" customWidth="1"/>
  </cols>
  <sheetData>
    <row r="1" spans="1:10" s="1211" customFormat="1" ht="25.95" customHeight="1">
      <c r="A1" s="1211">
        <f>MAX(B:B)</f>
        <v>30</v>
      </c>
      <c r="B1" s="1211" t="s">
        <v>1708</v>
      </c>
      <c r="C1" s="1211" t="s">
        <v>2603</v>
      </c>
      <c r="E1" s="1211" t="s">
        <v>6478</v>
      </c>
      <c r="F1" s="1324" t="s">
        <v>512</v>
      </c>
      <c r="G1" s="1211" t="s">
        <v>512</v>
      </c>
      <c r="H1" s="1211" t="s">
        <v>6657</v>
      </c>
    </row>
    <row r="2" spans="1:10" s="2988" customFormat="1" hidden="1">
      <c r="B2" s="2988">
        <v>1</v>
      </c>
      <c r="C2" s="2988" t="s">
        <v>4392</v>
      </c>
      <c r="D2" s="2988" t="s">
        <v>6467</v>
      </c>
      <c r="E2" s="2988" t="s">
        <v>512</v>
      </c>
      <c r="F2" s="2995" t="str">
        <f>IF(LEN(C2)&gt;0,VLOOKUP(C2,DG!A:C,3,0),"")</f>
        <v/>
      </c>
      <c r="H2" s="2988" t="str">
        <f t="shared" ref="H2:H33" si="0">C2</f>
        <v/>
      </c>
      <c r="J2" s="2988" t="str">
        <f>HLOOKUP(D2,pp3p1m!$9:$11,2,0)</f>
        <v>I. Phần đường dây trung hạ thế hỗn hợp</v>
      </c>
    </row>
    <row r="3" spans="1:10" s="2988" customFormat="1" hidden="1">
      <c r="B3" s="2988">
        <v>2</v>
      </c>
      <c r="C3" s="2988" t="s">
        <v>4392</v>
      </c>
      <c r="D3" s="2988" t="s">
        <v>6560</v>
      </c>
      <c r="E3" s="2988" t="s">
        <v>512</v>
      </c>
      <c r="F3" s="2995" t="str">
        <f>IF(LEN(C3)&gt;0,VLOOKUP(C3,DG!A:C,3,0),"")</f>
        <v/>
      </c>
      <c r="H3" s="2988" t="str">
        <f t="shared" si="0"/>
        <v/>
      </c>
      <c r="J3" s="2988">
        <f>HLOOKUP(D3,pp3p1m!$9:$11,2,0)</f>
        <v>0</v>
      </c>
    </row>
    <row r="4" spans="1:10" hidden="1">
      <c r="B4" s="2988">
        <v>4</v>
      </c>
      <c r="C4" t="s">
        <v>4392</v>
      </c>
      <c r="D4" s="1211" t="s">
        <v>6561</v>
      </c>
      <c r="E4" t="s">
        <v>512</v>
      </c>
      <c r="F4" s="1324" t="str">
        <f>IF(LEN(C4)&gt;0,VLOOKUP(C4,DG!A:C,3,0),"")</f>
        <v/>
      </c>
      <c r="H4" s="2988" t="str">
        <f t="shared" si="0"/>
        <v/>
      </c>
      <c r="J4" s="2988">
        <f>HLOOKUP(D4,pp3p1m!$9:$11,2,0)</f>
        <v>0</v>
      </c>
    </row>
    <row r="5" spans="1:10" hidden="1">
      <c r="B5" s="2988">
        <v>5</v>
      </c>
      <c r="C5" s="1211" t="s">
        <v>4392</v>
      </c>
      <c r="D5" s="1211" t="s">
        <v>6562</v>
      </c>
      <c r="E5" s="1211" t="s">
        <v>512</v>
      </c>
      <c r="F5" s="1324" t="str">
        <f>IF(LEN(C5)&gt;0,VLOOKUP(C5,DG!A:C,3,0),"")</f>
        <v/>
      </c>
      <c r="G5" s="1211"/>
      <c r="H5" s="2988" t="str">
        <f t="shared" si="0"/>
        <v/>
      </c>
      <c r="J5" s="2988">
        <f>HLOOKUP(D5,pp3p1m!$9:$11,2,0)</f>
        <v>0</v>
      </c>
    </row>
    <row r="6" spans="1:10" s="2988" customFormat="1" hidden="1">
      <c r="B6" s="2988">
        <v>6</v>
      </c>
      <c r="C6" s="2988" t="s">
        <v>4392</v>
      </c>
      <c r="D6" s="2988" t="s">
        <v>6469</v>
      </c>
      <c r="E6" s="2988" t="s">
        <v>512</v>
      </c>
      <c r="F6" s="2995" t="str">
        <f>IF(LEN(C6)&gt;0,VLOOKUP(C6,DG!A:C,3,0),"")</f>
        <v/>
      </c>
      <c r="H6" s="2988" t="str">
        <f t="shared" si="0"/>
        <v/>
      </c>
      <c r="J6" s="2988">
        <f>HLOOKUP(D6,pp3p1m!$9:$11,2,0)</f>
        <v>0</v>
      </c>
    </row>
    <row r="7" spans="1:10" hidden="1">
      <c r="B7" s="2988">
        <v>7</v>
      </c>
      <c r="C7" s="1211" t="s">
        <v>4392</v>
      </c>
      <c r="D7" s="1211" t="s">
        <v>6563</v>
      </c>
      <c r="E7" s="1211" t="s">
        <v>512</v>
      </c>
      <c r="F7" s="1324" t="str">
        <f>IF(LEN(C7)&gt;0,VLOOKUP(C7,DG!A:C,3,0),"")</f>
        <v/>
      </c>
      <c r="G7" s="1211"/>
      <c r="H7" s="2988" t="str">
        <f t="shared" si="0"/>
        <v/>
      </c>
      <c r="J7" s="2988">
        <f>HLOOKUP(D7,pp3p1m!$9:$11,2,0)</f>
        <v>0</v>
      </c>
    </row>
    <row r="8" spans="1:10" hidden="1">
      <c r="B8" s="2988">
        <v>8</v>
      </c>
      <c r="C8" s="1211" t="s">
        <v>1152</v>
      </c>
      <c r="D8" s="1211" t="s">
        <v>2780</v>
      </c>
      <c r="E8" t="s">
        <v>512</v>
      </c>
      <c r="F8" s="1324" t="str">
        <f>IF(LEN(C8)&gt;0,VLOOKUP(C8,DG!A:C,3,0),"")</f>
        <v>Cáp nhôm ABC 4x120mm2</v>
      </c>
      <c r="G8" s="1211"/>
      <c r="H8" s="2988" t="str">
        <f t="shared" si="0"/>
        <v>ABC4x120</v>
      </c>
      <c r="J8" s="2988">
        <f>HLOOKUP(D8,pp3p1m!$9:$11,2,0)</f>
        <v>0</v>
      </c>
    </row>
    <row r="9" spans="1:10">
      <c r="B9" s="2988">
        <v>8.1</v>
      </c>
      <c r="C9" s="1211" t="s">
        <v>958</v>
      </c>
      <c r="D9" s="1211" t="s">
        <v>958</v>
      </c>
      <c r="E9" t="s">
        <v>512</v>
      </c>
      <c r="F9" s="1324" t="str">
        <f>IF(LEN(C9)&gt;0,VLOOKUP(C9,DG!A:C,3,0),"")</f>
        <v>Móng M8</v>
      </c>
      <c r="G9" s="1211"/>
      <c r="H9" s="2988" t="str">
        <f t="shared" si="0"/>
        <v>M8</v>
      </c>
      <c r="J9" s="2988">
        <f>HLOOKUP(D9,pp3p1m!$9:$11,2,0)</f>
        <v>1</v>
      </c>
    </row>
    <row r="10" spans="1:10">
      <c r="B10" s="2988">
        <v>8.1999999999999993</v>
      </c>
      <c r="C10" s="1211" t="s">
        <v>2313</v>
      </c>
      <c r="D10" s="1211" t="s">
        <v>2313</v>
      </c>
      <c r="E10" t="s">
        <v>512</v>
      </c>
      <c r="F10" s="1324" t="str">
        <f>IF(LEN(C10)&gt;0,VLOOKUP(C10,DG!A:C,3,0),"")</f>
        <v>Móng M8 bê tông trụ đôi</v>
      </c>
      <c r="G10" s="1211"/>
      <c r="H10" s="2988" t="str">
        <f t="shared" si="0"/>
        <v>M8BT Đôi</v>
      </c>
      <c r="J10" s="2988">
        <f>HLOOKUP(D10,pp3p1m!$9:$11,2,0)</f>
        <v>1</v>
      </c>
    </row>
    <row r="11" spans="1:10" s="2988" customFormat="1">
      <c r="B11" s="2988">
        <v>9</v>
      </c>
      <c r="C11" s="2988" t="s">
        <v>219</v>
      </c>
      <c r="D11" s="2988" t="s">
        <v>219</v>
      </c>
      <c r="F11" s="2995" t="str">
        <f>IF(LEN(C11)&gt;0,VLOOKUP(C11,DG!A:C,3,0),"")</f>
        <v>Móng M12</v>
      </c>
      <c r="H11" s="2988" t="str">
        <f t="shared" si="0"/>
        <v>M12</v>
      </c>
      <c r="J11" s="2988">
        <f>HLOOKUP(D11,pp3p1m!$9:$11,2,0)</f>
        <v>8</v>
      </c>
    </row>
    <row r="12" spans="1:10">
      <c r="B12" s="2988">
        <v>10</v>
      </c>
      <c r="C12" s="1211" t="s">
        <v>2305</v>
      </c>
      <c r="D12" s="1211" t="s">
        <v>2305</v>
      </c>
      <c r="F12" s="1324" t="str">
        <f>IF(LEN(C12)&gt;0,VLOOKUP(C12,DG!A:C,3,0),"")</f>
        <v>Móng bê tông trụ đơn 12m</v>
      </c>
      <c r="G12" s="1211"/>
      <c r="H12" s="2988" t="str">
        <f t="shared" si="0"/>
        <v>M12BT ĐƠN</v>
      </c>
      <c r="J12" s="2988">
        <f>HLOOKUP(D12,pp3p1m!$9:$11,2,0)</f>
        <v>1</v>
      </c>
    </row>
    <row r="13" spans="1:10">
      <c r="B13" s="2988">
        <v>11</v>
      </c>
      <c r="C13" s="1211" t="s">
        <v>2306</v>
      </c>
      <c r="D13" s="1211" t="s">
        <v>2306</v>
      </c>
      <c r="F13" s="1324" t="str">
        <f>IF(LEN(C13)&gt;0,VLOOKUP(C13,DG!A:C,3,0),"")</f>
        <v>Móng bê tông trụ đôi 12m</v>
      </c>
      <c r="G13" s="1211"/>
      <c r="H13" s="2988" t="str">
        <f t="shared" si="0"/>
        <v>M12BT ĐÔI</v>
      </c>
      <c r="J13" s="2988">
        <f>HLOOKUP(D13,pp3p1m!$9:$11,2,0)</f>
        <v>2</v>
      </c>
    </row>
    <row r="14" spans="1:10" s="1211" customFormat="1">
      <c r="B14" s="2988">
        <v>12</v>
      </c>
      <c r="C14" s="1211" t="s">
        <v>6565</v>
      </c>
      <c r="D14" s="1211" t="s">
        <v>2387</v>
      </c>
      <c r="F14" s="1324" t="str">
        <f>IF(LEN(C14)&gt;0,VLOOKUP(C14,DG!A:C,3,0),"")</f>
        <v>Tiếp địa lặp lại (trụ 8.4m)</v>
      </c>
      <c r="H14" s="2988" t="str">
        <f t="shared" si="0"/>
        <v>TDLL84</v>
      </c>
      <c r="J14" s="2988">
        <f>HLOOKUP(D14,pp3p1m!$9:$11,2,0)</f>
        <v>17</v>
      </c>
    </row>
    <row r="15" spans="1:10" s="1211" customFormat="1">
      <c r="B15" s="2988">
        <v>13</v>
      </c>
      <c r="C15" s="1211" t="s">
        <v>1637</v>
      </c>
      <c r="D15" s="1211" t="s">
        <v>2391</v>
      </c>
      <c r="F15" s="1324" t="str">
        <f>IF(LEN(C15)&gt;0,VLOOKUP(C15,DG!A:C,3,0),"")</f>
        <v>Tiếp địa lặp lại (trụ 12m)</v>
      </c>
      <c r="H15" s="2988" t="str">
        <f t="shared" si="0"/>
        <v>TDTT12</v>
      </c>
      <c r="J15" s="2988">
        <f>HLOOKUP(D15,pp3p1m!$9:$11,2,0)</f>
        <v>1</v>
      </c>
    </row>
    <row r="16" spans="1:10">
      <c r="B16" s="1211">
        <v>14</v>
      </c>
      <c r="C16" s="1211" t="s">
        <v>4319</v>
      </c>
      <c r="D16" s="1211" t="s">
        <v>6566</v>
      </c>
      <c r="F16" s="1324" t="str">
        <f>IF(LEN(C16)&gt;0,VLOOKUP(C16,DG!A:C,3,0),"")</f>
        <v>Ghíp nối IPC 95-25 (2 boulon)</v>
      </c>
      <c r="G16" s="1211"/>
      <c r="H16" s="2988" t="str">
        <f t="shared" si="0"/>
        <v>GIP95-25</v>
      </c>
      <c r="J16" s="2988">
        <f>HLOOKUP(D16,pp3p1m!$9:$11,2,0)</f>
        <v>216</v>
      </c>
    </row>
    <row r="17" spans="2:10">
      <c r="B17" s="2988">
        <v>15</v>
      </c>
      <c r="C17" s="1211" t="s">
        <v>6499</v>
      </c>
      <c r="D17" s="1211" t="s">
        <v>6505</v>
      </c>
      <c r="F17" s="1324" t="str">
        <f>IF(LEN(C17)&gt;0,VLOOKUP(C17,DG!A:C,3,0),"")</f>
        <v>Dây buộc đầu sứ cỡ dây 150mm2</v>
      </c>
      <c r="G17" s="1211"/>
      <c r="H17" s="2988" t="str">
        <f t="shared" si="0"/>
        <v>ttf-150</v>
      </c>
      <c r="J17" s="2988">
        <f>HLOOKUP(D17,pp3p1m!$9:$11,2,0)</f>
        <v>3</v>
      </c>
    </row>
    <row r="18" spans="2:10">
      <c r="B18" s="2988">
        <v>16</v>
      </c>
      <c r="C18" s="1211" t="s">
        <v>6568</v>
      </c>
      <c r="D18" s="1211" t="s">
        <v>6567</v>
      </c>
      <c r="F18" s="1324" t="str">
        <f>IF(LEN(C18)&gt;0,VLOOKUP(C18,DG!A:C,3,0),"")</f>
        <v>Tháo (lắp) sứ đứng 24KV</v>
      </c>
      <c r="G18" s="1211"/>
      <c r="H18" s="2988" t="str">
        <f t="shared" si="0"/>
        <v>TLSD24</v>
      </c>
      <c r="J18" s="2988">
        <f>HLOOKUP(D18,pp3p1m!$9:$11,2,0)</f>
        <v>3</v>
      </c>
    </row>
    <row r="19" spans="2:10">
      <c r="B19" s="1211">
        <v>17</v>
      </c>
      <c r="C19" s="1211" t="s">
        <v>6569</v>
      </c>
      <c r="D19" s="1211" t="s">
        <v>6570</v>
      </c>
      <c r="F19" s="1324" t="str">
        <f>IF(LEN(C19)&gt;0,VLOOKUP(C19,DG!A:C,3,0),"")</f>
        <v>Tháo (lắp) sứ hạ thế các loại</v>
      </c>
      <c r="G19" s="1211"/>
      <c r="H19" s="2988" t="str">
        <f t="shared" si="0"/>
        <v>TLSD04</v>
      </c>
      <c r="J19" s="2988">
        <f>HLOOKUP(D19,pp3p1m!$9:$11,2,0)</f>
        <v>12</v>
      </c>
    </row>
    <row r="20" spans="2:10">
      <c r="B20" s="2988">
        <v>18</v>
      </c>
      <c r="C20" s="1211" t="s">
        <v>6571</v>
      </c>
      <c r="D20" s="1211" t="s">
        <v>6572</v>
      </c>
      <c r="F20" s="1324" t="str">
        <f>IF(LEN(C20)&gt;0,VLOOKUP(C20,DG!A:C,3,0),"")</f>
        <v>Tháo căng hạ dây DuCV 2x16 mm2</v>
      </c>
      <c r="G20" s="1211"/>
      <c r="H20" s="2988" t="str">
        <f t="shared" si="0"/>
        <v>TCH2x16</v>
      </c>
      <c r="J20" s="2988">
        <f>HLOOKUP(D20,pp3p1m!$9:$11,2,0)</f>
        <v>216</v>
      </c>
    </row>
    <row r="21" spans="2:10">
      <c r="B21" s="2988">
        <v>19</v>
      </c>
      <c r="C21" s="1211" t="s">
        <v>3</v>
      </c>
      <c r="D21" s="1211" t="s">
        <v>3508</v>
      </c>
      <c r="F21" s="1324" t="str">
        <f>IF(LEN(C21)&gt;0,VLOOKUP(C21,DG!A:C,3,0),"")</f>
        <v>Cáp Duplex 2x16</v>
      </c>
      <c r="G21" s="1211"/>
      <c r="H21" s="2988" t="str">
        <f t="shared" si="0"/>
        <v>Duplex 216</v>
      </c>
      <c r="J21" s="2988">
        <f>HLOOKUP(D21,pp3p1m!$9:$11,2,0)</f>
        <v>272</v>
      </c>
    </row>
    <row r="22" spans="2:10">
      <c r="B22" s="2988">
        <v>20</v>
      </c>
      <c r="C22" s="1211" t="s">
        <v>6575</v>
      </c>
      <c r="D22" s="1211" t="s">
        <v>6576</v>
      </c>
      <c r="F22" s="1324" t="str">
        <f>IF(LEN(C22)&gt;0,VLOOKUP(C22,DG!A:C,3,0),"")</f>
        <v>Tháo và lắp bộ xà M ≤ 25kg</v>
      </c>
      <c r="G22" s="1211"/>
      <c r="H22" s="2988" t="str">
        <f t="shared" si="0"/>
        <v>TL x-25</v>
      </c>
      <c r="J22" s="2988">
        <f>HLOOKUP(D22,pp3p1m!$9:$11,2,0)</f>
        <v>23</v>
      </c>
    </row>
    <row r="23" spans="2:10" s="2988" customFormat="1">
      <c r="B23" s="2988">
        <v>21</v>
      </c>
      <c r="C23" s="2988" t="s">
        <v>6579</v>
      </c>
      <c r="D23" s="2988" t="s">
        <v>3828</v>
      </c>
      <c r="F23" s="2995" t="str">
        <f>IF(LEN(C23)&gt;0,VLOOKUP(C23,DG!A:C,3,0),"")</f>
        <v>Tháo và lắp LA</v>
      </c>
      <c r="H23" s="2988" t="str">
        <f t="shared" si="0"/>
        <v>TL LA</v>
      </c>
      <c r="J23" s="2988">
        <f>HLOOKUP(D23,pp3p1m!$9:$11,2,0)</f>
        <v>1</v>
      </c>
    </row>
    <row r="24" spans="2:10" s="2988" customFormat="1">
      <c r="B24" s="2988">
        <v>21.1</v>
      </c>
      <c r="C24" s="2988" t="s">
        <v>6656</v>
      </c>
      <c r="D24" s="2988" t="s">
        <v>6581</v>
      </c>
      <c r="F24" s="2995" t="str">
        <f>IF(LEN(C24)&gt;0,VLOOKUP(C24,DG!A:C,3,0),"")</f>
        <v>Tháo và lắp bộ công tơ 1 pha</v>
      </c>
      <c r="H24" s="2988" t="str">
        <f t="shared" si="0"/>
        <v>tl dk1</v>
      </c>
      <c r="J24" s="2988">
        <f>HLOOKUP(D24,pp3p1m!$9:$11,2,0)</f>
        <v>106</v>
      </c>
    </row>
    <row r="25" spans="2:10">
      <c r="B25" s="1211">
        <v>22</v>
      </c>
      <c r="C25" s="2988" t="s">
        <v>6586</v>
      </c>
      <c r="D25" s="1211" t="s">
        <v>6585</v>
      </c>
      <c r="F25" s="1324" t="str">
        <f>IF(LEN(C25)&gt;0,VLOOKUP(C25,DG!A:C,3,0),"")</f>
        <v>Tháo và lắp hộp phân phối dây</v>
      </c>
      <c r="G25" s="1211"/>
      <c r="H25" s="2988" t="str">
        <f t="shared" si="0"/>
        <v>tl hoppp</v>
      </c>
      <c r="J25" s="2988">
        <f>HLOOKUP(D25,pp3p1m!$9:$11,2,0)</f>
        <v>29</v>
      </c>
    </row>
    <row r="26" spans="2:10" s="2988" customFormat="1">
      <c r="B26" s="2988">
        <v>23</v>
      </c>
      <c r="C26" s="2988" t="s">
        <v>510</v>
      </c>
      <c r="D26" s="2988" t="s">
        <v>2405</v>
      </c>
      <c r="F26" s="2995" t="str">
        <f>IF(LEN(C26)&gt;0,VLOOKUP(C26,DG!A:C,3,0),"")</f>
        <v>Nhổ và trồng trụ 8,4m</v>
      </c>
      <c r="H26" s="2988" t="str">
        <f t="shared" si="0"/>
        <v>N-T-BTLT 8.4</v>
      </c>
      <c r="J26" s="2988">
        <f>HLOOKUP(D26,pp3p1m!$9:$11,2,0)</f>
        <v>33</v>
      </c>
    </row>
    <row r="27" spans="2:10" s="2988" customFormat="1">
      <c r="B27" s="2988">
        <v>24</v>
      </c>
      <c r="C27" s="2988" t="s">
        <v>6602</v>
      </c>
      <c r="D27" s="2988" t="s">
        <v>4101</v>
      </c>
      <c r="F27" s="2995" t="str">
        <f>IF(LEN(C27)&gt;0,VLOOKUP(C27,DG!A:C,3,0),"")</f>
        <v>Nhổ và trồng trụ 12m</v>
      </c>
      <c r="H27" s="2988" t="str">
        <f t="shared" si="0"/>
        <v>N-T-BTLT 12</v>
      </c>
      <c r="J27" s="2988">
        <f>HLOOKUP(D27,pp3p1m!$9:$11,2,0)</f>
        <v>23</v>
      </c>
    </row>
    <row r="28" spans="2:10" s="2988" customFormat="1">
      <c r="B28" s="2988">
        <v>25</v>
      </c>
      <c r="C28" s="2988" t="s">
        <v>6587</v>
      </c>
      <c r="D28" s="2988" t="s">
        <v>6588</v>
      </c>
      <c r="F28" s="2995" t="str">
        <f>IF(LEN(C28)&gt;0,VLOOKUP(C28,DG!A:C,3,0),"")</f>
        <v>Tháo lắp MBA 1 pha công suất &lt;=50kVA</v>
      </c>
      <c r="H28" s="2988" t="str">
        <f t="shared" si="0"/>
        <v>TL MBA1-50</v>
      </c>
      <c r="J28" s="2988">
        <f>HLOOKUP(D28,pp3p1m!$9:$11,2,0)</f>
        <v>3</v>
      </c>
    </row>
    <row r="29" spans="2:10">
      <c r="B29" s="1211">
        <v>26</v>
      </c>
      <c r="C29" s="1211" t="s">
        <v>6589</v>
      </c>
      <c r="D29" s="1211" t="s">
        <v>6591</v>
      </c>
      <c r="F29" s="1324" t="str">
        <f>IF(LEN(C29)&gt;0,VLOOKUP(C29,DG!A:C,3,0),"")</f>
        <v>Tháo và lắp dây dẫn trong ống bảo vệ ≤ 95mm2</v>
      </c>
      <c r="G29" s="1211"/>
      <c r="H29" s="2988" t="str">
        <f t="shared" si="0"/>
        <v>TL CV95</v>
      </c>
      <c r="J29" s="2988">
        <f>HLOOKUP(D29,pp3p1m!$9:$11,2,0)</f>
        <v>48</v>
      </c>
    </row>
    <row r="30" spans="2:10" s="2988" customFormat="1">
      <c r="B30" s="2988">
        <v>27</v>
      </c>
      <c r="C30" s="2988" t="s">
        <v>6592</v>
      </c>
      <c r="D30" s="2988" t="s">
        <v>6598</v>
      </c>
      <c r="F30" s="2995" t="str">
        <f>IF(LEN(C30)&gt;0,VLOOKUP(C30,DG!A:C,3,0),"")</f>
        <v>Tháo và lắp dây dẫn trong ống bảo vệ ≤ 120mm2</v>
      </c>
      <c r="H30" s="2988" t="str">
        <f t="shared" si="0"/>
        <v>TL CV120</v>
      </c>
      <c r="J30" s="2988">
        <f>HLOOKUP(D30,pp3p1m!$9:$11,2,0)</f>
        <v>30</v>
      </c>
    </row>
    <row r="31" spans="2:10" s="2988" customFormat="1">
      <c r="B31" s="2988">
        <v>28</v>
      </c>
      <c r="C31" s="2988" t="s">
        <v>6596</v>
      </c>
      <c r="D31" s="2988" t="s">
        <v>6597</v>
      </c>
      <c r="F31" s="2995" t="str">
        <f>IF(LEN(C31)&gt;0,VLOOKUP(C31,DG!A:C,3,0),"")</f>
        <v>Tháo và lắp MCCB Idm ≤300A</v>
      </c>
      <c r="H31" s="2988" t="str">
        <f t="shared" si="0"/>
        <v>TL mccb-300</v>
      </c>
      <c r="J31" s="2988">
        <f>HLOOKUP(D31,pp3p1m!$9:$11,2,0)</f>
        <v>1</v>
      </c>
    </row>
    <row r="32" spans="2:10" s="1211" customFormat="1">
      <c r="B32" s="1211">
        <v>29</v>
      </c>
      <c r="C32" s="1211" t="s">
        <v>6599</v>
      </c>
      <c r="D32" s="1211" t="s">
        <v>4105</v>
      </c>
      <c r="F32" s="1324" t="str">
        <f>IF(LEN(C32)&gt;0,VLOOKUP(C32,DG!A:C,3,0),"")</f>
        <v>Tháo và lắp FCO</v>
      </c>
      <c r="H32" s="2988" t="str">
        <f t="shared" si="0"/>
        <v>TL FCO</v>
      </c>
      <c r="J32" s="2988">
        <f>HLOOKUP(D32,pp3p1m!$9:$11,2,0)</f>
        <v>3</v>
      </c>
    </row>
    <row r="33" spans="2:10">
      <c r="B33" s="1211">
        <v>30</v>
      </c>
      <c r="C33" s="1211" t="s">
        <v>6601</v>
      </c>
      <c r="D33" s="1211" t="s">
        <v>6600</v>
      </c>
      <c r="F33" s="1324" t="str">
        <f>IF(LEN(C33)&gt;0,VLOOKUP(C33,DG!A:C,3,0),"")</f>
        <v>Tháo tủ điện hạ áp 3P</v>
      </c>
      <c r="G33" s="1211"/>
      <c r="H33" s="2988" t="str">
        <f t="shared" si="0"/>
        <v>TL Tu3P</v>
      </c>
      <c r="J33" s="2988">
        <f>HLOOKUP(D33,pp3p1m!$9:$11,2,0)</f>
        <v>1</v>
      </c>
    </row>
    <row r="34" spans="2:10" s="2988" customFormat="1">
      <c r="C34" s="2988" t="s">
        <v>6658</v>
      </c>
      <c r="D34" s="2988" t="s">
        <v>6659</v>
      </c>
      <c r="F34" s="2995" t="str">
        <f>IF(LEN(C34)&gt;0,VLOOKUP(C34,DG!A:C,3,0),"")</f>
        <v>Tháo và lắp bộ xà M ≤ 100kg</v>
      </c>
      <c r="H34" s="2988" t="str">
        <f t="shared" ref="H34:H64" si="1">C34</f>
        <v>TL x-100</v>
      </c>
      <c r="J34" s="2988">
        <f>HLOOKUP(D34,pp3p1m!$9:$11,2,0)</f>
        <v>3</v>
      </c>
    </row>
    <row r="35" spans="2:10" hidden="1">
      <c r="B35" s="1211"/>
      <c r="C35" s="1211" t="s">
        <v>4392</v>
      </c>
      <c r="D35" s="1211" t="s">
        <v>6467</v>
      </c>
      <c r="F35" s="1324" t="str">
        <f>IF(LEN(C35)&gt;0,VLOOKUP(C35,DG!A:C,3,0),"")</f>
        <v/>
      </c>
      <c r="G35" s="1211"/>
      <c r="H35" s="2988" t="str">
        <f t="shared" si="1"/>
        <v/>
      </c>
      <c r="J35" s="2988" t="str">
        <f>HLOOKUP(D35,pp3p1m!$9:$11,2,0)</f>
        <v>I. Phần đường dây trung hạ thế hỗn hợp</v>
      </c>
    </row>
    <row r="36" spans="2:10">
      <c r="B36" s="1211"/>
      <c r="C36" s="1211" t="s">
        <v>4392</v>
      </c>
      <c r="D36" s="1211" t="s">
        <v>6468</v>
      </c>
      <c r="F36" s="1324" t="str">
        <f>IF(LEN(C36)&gt;0,VLOOKUP(C36,DG!A:C,3,0),"")</f>
        <v/>
      </c>
      <c r="G36" s="1211"/>
      <c r="H36" s="2988" t="str">
        <f t="shared" si="1"/>
        <v/>
      </c>
      <c r="J36" s="2988" t="e">
        <f>HLOOKUP(D36,pp3p1m!$9:$11,2,0)</f>
        <v>#N/A</v>
      </c>
    </row>
    <row r="37" spans="2:10">
      <c r="B37" s="1211"/>
      <c r="C37" s="1211" t="s">
        <v>6524</v>
      </c>
      <c r="D37" s="1211" t="s">
        <v>6470</v>
      </c>
      <c r="F37" s="1324" t="str">
        <f>IF(LEN(C37)&gt;0,VLOOKUP(C37,DG!A:C,3,0),"")</f>
        <v>Cáp 24KV ACXH 95mm2</v>
      </c>
      <c r="G37" s="1211"/>
      <c r="H37" s="2988" t="str">
        <f t="shared" si="1"/>
        <v>ACXH95</v>
      </c>
      <c r="J37" s="2988" t="e">
        <f>HLOOKUP(D37,pp3p1m!$9:$11,2,0)</f>
        <v>#N/A</v>
      </c>
    </row>
    <row r="38" spans="2:10" s="1211" customFormat="1">
      <c r="C38" s="1211" t="s">
        <v>6525</v>
      </c>
      <c r="D38" s="1211" t="s">
        <v>6471</v>
      </c>
      <c r="F38" s="1324" t="str">
        <f>IF(LEN(C38)&gt;0,VLOOKUP(C38,DG!A:C,3,0),"")</f>
        <v>Cáp 24KV ACXH 70mm2</v>
      </c>
      <c r="H38" s="2988" t="str">
        <f t="shared" si="1"/>
        <v>ACXH70</v>
      </c>
      <c r="J38" s="2988" t="e">
        <f>HLOOKUP(D38,pp3p1m!$9:$11,2,0)</f>
        <v>#N/A</v>
      </c>
    </row>
    <row r="39" spans="2:10" ht="17.399999999999999" customHeight="1">
      <c r="B39" s="1211"/>
      <c r="C39" s="1211" t="s">
        <v>6472</v>
      </c>
      <c r="D39" s="1211" t="s">
        <v>6472</v>
      </c>
      <c r="F39" s="1324" t="str">
        <f>IF(LEN(C39)&gt;0,VLOOKUP(C39,DG!A:C,3,0),"")</f>
        <v>Cáp đồng bọc 24KV-CXV-25</v>
      </c>
      <c r="G39" s="1211"/>
      <c r="H39" s="2988" t="str">
        <f t="shared" si="1"/>
        <v>CXV25</v>
      </c>
      <c r="J39" s="2988" t="e">
        <f>HLOOKUP(D39,pp3p1m!$9:$11,2,0)</f>
        <v>#N/A</v>
      </c>
    </row>
    <row r="40" spans="2:10">
      <c r="B40" s="1211"/>
      <c r="C40" s="1211" t="s">
        <v>6473</v>
      </c>
      <c r="D40" t="s">
        <v>6473</v>
      </c>
      <c r="F40" s="1324" t="str">
        <f>IF(LEN(C40)&gt;0,VLOOKUP(C40,DG!A:C,3,0),"")</f>
        <v>Cáp đồng bọc 24KV-CXV-95</v>
      </c>
      <c r="G40" s="1211"/>
      <c r="H40" s="2988" t="str">
        <f t="shared" si="1"/>
        <v>CXV95</v>
      </c>
      <c r="J40" s="2988" t="e">
        <f>HLOOKUP(D40,pp3p1m!$9:$11,2,0)</f>
        <v>#N/A</v>
      </c>
    </row>
    <row r="41" spans="2:10">
      <c r="B41" s="1211"/>
      <c r="C41" s="1211" t="s">
        <v>4392</v>
      </c>
      <c r="D41" t="s">
        <v>6474</v>
      </c>
      <c r="F41" s="1324" t="str">
        <f>IF(LEN(C41)&gt;0,VLOOKUP(C41,DG!A:C,3,0),"")</f>
        <v/>
      </c>
      <c r="G41" s="1211"/>
      <c r="H41" s="2988" t="str">
        <f t="shared" si="1"/>
        <v/>
      </c>
      <c r="J41" s="2988" t="e">
        <f>HLOOKUP(D41,pp3p1m!$9:$11,2,0)</f>
        <v>#N/A</v>
      </c>
    </row>
    <row r="42" spans="2:10">
      <c r="B42" s="1211"/>
      <c r="C42" s="1211" t="s">
        <v>4392</v>
      </c>
      <c r="D42" t="s">
        <v>4529</v>
      </c>
      <c r="F42" s="1324" t="str">
        <f>IF(LEN(C42)&gt;0,VLOOKUP(C42,DG!A:C,3,0),"")</f>
        <v/>
      </c>
      <c r="G42" s="1211"/>
      <c r="H42" s="2988" t="str">
        <f t="shared" si="1"/>
        <v/>
      </c>
      <c r="J42" s="2988" t="e">
        <f>HLOOKUP(D42,pp3p1m!$9:$11,2,0)</f>
        <v>#N/A</v>
      </c>
    </row>
    <row r="43" spans="2:10">
      <c r="B43" s="1211"/>
      <c r="C43" s="1211" t="s">
        <v>301</v>
      </c>
      <c r="D43" t="s">
        <v>301</v>
      </c>
      <c r="F43" s="1324" t="str">
        <f>IF(LEN(C43)&gt;0,VLOOKUP(C43,DG!A:C,3,0),"")</f>
        <v>Trụ bê tông ly tâm 12m trồng thủ công+cơ giới</v>
      </c>
      <c r="G43" s="1211"/>
      <c r="H43" s="2988" t="str">
        <f t="shared" si="1"/>
        <v>BTLT 12</v>
      </c>
      <c r="J43" s="2988" t="e">
        <f>HLOOKUP(D43,pp3p1m!$9:$11,2,0)</f>
        <v>#N/A</v>
      </c>
    </row>
    <row r="44" spans="2:10">
      <c r="B44" s="1211"/>
      <c r="C44" s="1211" t="s">
        <v>302</v>
      </c>
      <c r="D44" t="s">
        <v>302</v>
      </c>
      <c r="F44" s="1324" t="str">
        <f>IF(LEN(C44)&gt;0,VLOOKUP(C44,DG!A:C,3,0),"")</f>
        <v>Trụ bê tông ly tâm 14m</v>
      </c>
      <c r="G44" s="1211"/>
      <c r="H44" s="2988" t="str">
        <f t="shared" si="1"/>
        <v>BTLT 14</v>
      </c>
      <c r="J44" s="2988" t="e">
        <f>HLOOKUP(D44,pp3p1m!$9:$11,2,0)</f>
        <v>#N/A</v>
      </c>
    </row>
    <row r="45" spans="2:10">
      <c r="B45" s="1211"/>
      <c r="C45" s="1211" t="s">
        <v>219</v>
      </c>
      <c r="D45" s="1211" t="s">
        <v>219</v>
      </c>
      <c r="F45" s="1324" t="str">
        <f>IF(LEN(C45)&gt;0,VLOOKUP(C45,DG!A:C,3,0),"")</f>
        <v>Móng M12</v>
      </c>
      <c r="G45" s="1211"/>
      <c r="H45" s="2988" t="str">
        <f t="shared" si="1"/>
        <v>M12</v>
      </c>
      <c r="J45" s="2988">
        <f>HLOOKUP(D45,pp3p1m!$9:$11,2,0)</f>
        <v>8</v>
      </c>
    </row>
    <row r="46" spans="2:10">
      <c r="B46" s="1211"/>
      <c r="C46" s="1211" t="s">
        <v>2307</v>
      </c>
      <c r="D46" t="s">
        <v>2307</v>
      </c>
      <c r="F46" s="1324" t="str">
        <f>IF(LEN(C46)&gt;0,VLOOKUP(C46,DG!A:C,3,0),"")</f>
        <v>Móng bê tông trụ đơn 14m</v>
      </c>
      <c r="G46" s="1211"/>
      <c r="H46" s="2988" t="str">
        <f t="shared" si="1"/>
        <v>M14BT ĐƠN</v>
      </c>
      <c r="J46" s="2988" t="e">
        <f>HLOOKUP(D46,pp3p1m!$9:$11,2,0)</f>
        <v>#N/A</v>
      </c>
    </row>
    <row r="47" spans="2:10">
      <c r="B47" s="1211"/>
      <c r="C47" s="1211" t="s">
        <v>6475</v>
      </c>
      <c r="D47" t="s">
        <v>6475</v>
      </c>
      <c r="F47" s="1324" t="str">
        <f>IF(LEN(C47)&gt;0,VLOOKUP(C47,DG!A:C,3,0),"")</f>
        <v>Móng bê tông trụ đôi 14m</v>
      </c>
      <c r="G47" s="1211"/>
      <c r="H47" s="2988" t="str">
        <f t="shared" si="1"/>
        <v>M14BT ĐÔI</v>
      </c>
      <c r="J47" s="2988" t="e">
        <f>HLOOKUP(D47,pp3p1m!$9:$11,2,0)</f>
        <v>#N/A</v>
      </c>
    </row>
    <row r="48" spans="2:10">
      <c r="B48" s="1211"/>
      <c r="C48" s="1211" t="s">
        <v>6518</v>
      </c>
      <c r="D48" t="s">
        <v>6476</v>
      </c>
      <c r="F48" s="1324" t="str">
        <f>IF(LEN(C48)&gt;0,VLOOKUP(C48,DG!A:C,3,0),"")</f>
        <v>Tiếp địa trụ Recloser, LBS</v>
      </c>
      <c r="G48" s="1211"/>
      <c r="H48" s="2988" t="str">
        <f t="shared" si="1"/>
        <v>TDTB</v>
      </c>
      <c r="J48" s="2988" t="e">
        <f>HLOOKUP(D48,pp3p1m!$9:$11,2,0)</f>
        <v>#N/A</v>
      </c>
    </row>
    <row r="49" spans="2:10">
      <c r="B49" s="1211"/>
      <c r="C49" s="1211" t="s">
        <v>2235</v>
      </c>
      <c r="D49" t="s">
        <v>2392</v>
      </c>
      <c r="F49" s="1324" t="str">
        <f>IF(LEN(C49)&gt;0,VLOOKUP(C49,DG!A:C,3,0),"")</f>
        <v>Tiếp địa lặp lại trụ 12m</v>
      </c>
      <c r="G49" s="1211"/>
      <c r="H49" s="2988" t="str">
        <f t="shared" si="1"/>
        <v>TDLL12</v>
      </c>
      <c r="J49" s="2988" t="e">
        <f>HLOOKUP(D49,pp3p1m!$9:$11,2,0)</f>
        <v>#N/A</v>
      </c>
    </row>
    <row r="50" spans="2:10">
      <c r="B50" s="1211"/>
      <c r="C50" s="1211" t="s">
        <v>2293</v>
      </c>
      <c r="D50" t="s">
        <v>2293</v>
      </c>
      <c r="F50" s="1324" t="str">
        <f>IF(LEN(C50)&gt;0,VLOOKUP(C50,DG!A:C,3,0),"")</f>
        <v>Bộ xà lệch đơn L75x75x8 dài 2m: X-20ĐL2/3</v>
      </c>
      <c r="G50" s="1211"/>
      <c r="H50" s="2988" t="str">
        <f t="shared" si="1"/>
        <v>X-20ĐL2/3</v>
      </c>
      <c r="J50" s="2988" t="e">
        <f>HLOOKUP(D50,pp3p1m!$9:$11,2,0)</f>
        <v>#N/A</v>
      </c>
    </row>
    <row r="51" spans="2:10">
      <c r="B51" s="1211"/>
      <c r="C51" s="1211" t="s">
        <v>2119</v>
      </c>
      <c r="D51" t="s">
        <v>2119</v>
      </c>
      <c r="F51" s="1324" t="str">
        <f>IF(LEN(C51)&gt;0,VLOOKUP(C51,DG!A:C,3,0),"")</f>
        <v>Bộ xà lệch kép L75x75x8 dài 2m: X-20KL2/3</v>
      </c>
      <c r="G51" s="1211"/>
      <c r="H51" s="2988" t="str">
        <f t="shared" si="1"/>
        <v>X-20KL2/3</v>
      </c>
      <c r="J51" s="2988" t="e">
        <f>HLOOKUP(D51,pp3p1m!$9:$11,2,0)</f>
        <v>#N/A</v>
      </c>
    </row>
    <row r="52" spans="2:10">
      <c r="B52" s="1211"/>
      <c r="C52" s="1211" t="s">
        <v>2292</v>
      </c>
      <c r="D52" t="s">
        <v>2292</v>
      </c>
      <c r="F52" s="1324" t="str">
        <f>IF(LEN(C52)&gt;0,VLOOKUP(C52,DG!A:C,3,0),"")</f>
        <v>Bộ xà lệch đơn L75x75x8 dài 2,1m: X-21ĐL</v>
      </c>
      <c r="G52" s="1211"/>
      <c r="H52" s="2988" t="str">
        <f t="shared" si="1"/>
        <v>X-21ĐL</v>
      </c>
      <c r="J52" s="2988" t="e">
        <f>HLOOKUP(D52,pp3p1m!$9:$11,2,0)</f>
        <v>#N/A</v>
      </c>
    </row>
    <row r="53" spans="2:10">
      <c r="B53" s="1211"/>
      <c r="C53" s="1211" t="s">
        <v>893</v>
      </c>
      <c r="D53" t="s">
        <v>893</v>
      </c>
      <c r="F53" s="1324" t="str">
        <f>IF(LEN(C53)&gt;0,VLOOKUP(C53,DG!A:C,3,0),"")</f>
        <v>Bộ xà lệch kép L75x75x8 dài 2,1m: X-21KL</v>
      </c>
      <c r="G53" s="1211"/>
      <c r="H53" s="2988" t="str">
        <f t="shared" si="1"/>
        <v>X-21KL</v>
      </c>
      <c r="J53" s="2988" t="e">
        <f>HLOOKUP(D53,pp3p1m!$9:$11,2,0)</f>
        <v>#N/A</v>
      </c>
    </row>
    <row r="54" spans="2:10">
      <c r="B54" s="1211"/>
      <c r="C54" s="1211" t="s">
        <v>2295</v>
      </c>
      <c r="D54" t="s">
        <v>2295</v>
      </c>
      <c r="F54" s="1324" t="str">
        <f>IF(LEN(C54)&gt;0,VLOOKUP(C54,DG!A:C,3,0),"")</f>
        <v>Bộ xà kép L75x75x8 dài 2.2m: X-22K-Đ - C810 (lắp trụ đơn)</v>
      </c>
      <c r="G54" s="1211"/>
      <c r="H54" s="2988" t="str">
        <f t="shared" si="1"/>
        <v>X-22K-Đ</v>
      </c>
      <c r="J54" s="2988" t="e">
        <f>HLOOKUP(D54,pp3p1m!$9:$11,2,0)</f>
        <v>#N/A</v>
      </c>
    </row>
    <row r="55" spans="2:10">
      <c r="B55" s="1211"/>
      <c r="C55" s="1211" t="s">
        <v>533</v>
      </c>
      <c r="D55" t="s">
        <v>533</v>
      </c>
      <c r="F55" s="1324" t="str">
        <f>IF(LEN(C55)&gt;0,VLOOKUP(C55,DG!A:C,3,0),"")</f>
        <v>Bộ xà kép L75x75x8 dài 2.2m: X-22K-K - C810 (lắp theo hướng trụ ghép)</v>
      </c>
      <c r="G55" s="1211"/>
      <c r="H55" s="2988" t="str">
        <f t="shared" si="1"/>
        <v>X-22K-K</v>
      </c>
      <c r="J55" s="2988" t="e">
        <f>HLOOKUP(D55,pp3p1m!$9:$11,2,0)</f>
        <v>#N/A</v>
      </c>
    </row>
    <row r="56" spans="2:10">
      <c r="B56" s="1211"/>
      <c r="C56" s="1211" t="s">
        <v>2515</v>
      </c>
      <c r="D56" t="s">
        <v>4072</v>
      </c>
      <c r="F56" s="1324" t="str">
        <f>IF(LEN(C56)&gt;0,VLOOKUP(C56,DG!A:C,3,0),"")</f>
        <v>Chuỗi sứ treo Polymer 25kV lắp vào xà</v>
      </c>
      <c r="G56" s="1211"/>
      <c r="H56" s="2988" t="str">
        <f t="shared" si="1"/>
        <v>CĐT ply-X</v>
      </c>
      <c r="J56" s="2988" t="e">
        <f>HLOOKUP(D56,pp3p1m!$9:$11,2,0)</f>
        <v>#N/A</v>
      </c>
    </row>
    <row r="57" spans="2:10">
      <c r="B57" s="1211"/>
      <c r="C57" s="1211" t="s">
        <v>2499</v>
      </c>
      <c r="D57" t="s">
        <v>3785</v>
      </c>
      <c r="F57" s="1324" t="str">
        <f>IF(LEN(C57)&gt;0,VLOOKUP(C57,DG!A:C,3,0),"")</f>
        <v>Bộ Uclevis đỡ dây trung hòa: Đth-U</v>
      </c>
      <c r="G57" s="1211"/>
      <c r="H57" s="2988" t="str">
        <f t="shared" si="1"/>
        <v>Đth-U</v>
      </c>
      <c r="J57" s="2988" t="e">
        <f>HLOOKUP(D57,pp3p1m!$9:$11,2,0)</f>
        <v>#N/A</v>
      </c>
    </row>
    <row r="58" spans="2:10">
      <c r="B58" s="1211"/>
      <c r="C58" s="1211" t="s">
        <v>2534</v>
      </c>
      <c r="D58" t="s">
        <v>4075</v>
      </c>
      <c r="F58" s="1324" t="str">
        <f>IF(LEN(C58)&gt;0,VLOOKUP(C58,DG!A:C,3,0),"")</f>
        <v>Bộ Uclevis đỡ dây trung hòa trụ ghép: Đth-U-g (trụ ghép)</v>
      </c>
      <c r="G58" s="1211"/>
      <c r="H58" s="2988" t="str">
        <f t="shared" si="1"/>
        <v>Đth-U-g</v>
      </c>
      <c r="J58" s="2988" t="e">
        <f>HLOOKUP(D58,pp3p1m!$9:$11,2,0)</f>
        <v>#N/A</v>
      </c>
    </row>
    <row r="59" spans="2:10">
      <c r="B59" s="1211"/>
      <c r="C59" s="1211" t="s">
        <v>534</v>
      </c>
      <c r="D59" t="s">
        <v>6480</v>
      </c>
      <c r="F59" s="1324" t="str">
        <f>IF(LEN(C59)&gt;0,VLOOKUP(C59,DG!A:C,3,0),"")</f>
        <v>Bộ khóa néo dây trung hòa vào trụ ghép</v>
      </c>
      <c r="G59" s="1211"/>
      <c r="H59" s="2988" t="str">
        <f t="shared" si="1"/>
        <v>Nth-T-g</v>
      </c>
      <c r="J59" s="2988" t="e">
        <f>HLOOKUP(D59,pp3p1m!$9:$11,2,0)</f>
        <v>#N/A</v>
      </c>
    </row>
    <row r="60" spans="2:10">
      <c r="B60" s="1211"/>
      <c r="C60" s="1211" t="s">
        <v>1622</v>
      </c>
      <c r="D60" t="s">
        <v>6479</v>
      </c>
      <c r="F60" s="1324" t="str">
        <f>IF(LEN(C60)&gt;0,VLOOKUP(C60,DG!A:C,3,0),"")</f>
        <v>Bộ khóa néo dây trung hòa vào trụ đơn</v>
      </c>
      <c r="G60" s="1211"/>
      <c r="H60" s="2988" t="str">
        <f t="shared" si="1"/>
        <v>Nth-T</v>
      </c>
      <c r="J60" s="2988" t="e">
        <f>HLOOKUP(D60,pp3p1m!$9:$11,2,0)</f>
        <v>#N/A</v>
      </c>
    </row>
    <row r="61" spans="2:10">
      <c r="B61" s="1211"/>
      <c r="C61" s="1211" t="s">
        <v>2504</v>
      </c>
      <c r="D61" t="s">
        <v>3884</v>
      </c>
      <c r="F61" s="1324" t="str">
        <f>IF(LEN(C61)&gt;0,VLOOKUP(C61,DG!A:C,3,0),"")</f>
        <v>Bộ cách điện đứng+ty sứ : SĐU</v>
      </c>
      <c r="G61" s="1211"/>
      <c r="H61" s="2988" t="str">
        <f t="shared" si="1"/>
        <v>SĐU</v>
      </c>
      <c r="J61" s="2988" t="e">
        <f>HLOOKUP(D61,pp3p1m!$9:$11,2,0)</f>
        <v>#N/A</v>
      </c>
    </row>
    <row r="62" spans="2:10">
      <c r="B62" s="1211"/>
      <c r="C62" s="1211" t="s">
        <v>6497</v>
      </c>
      <c r="D62" t="s">
        <v>6503</v>
      </c>
      <c r="F62" s="1324" t="str">
        <f>IF(LEN(C62)&gt;0,VLOOKUP(C62,DG!A:C,3,0),"")</f>
        <v>Dây buộc đầu sứ cỡ dây 95mm2</v>
      </c>
      <c r="G62" s="1211"/>
      <c r="H62" s="2988" t="str">
        <f t="shared" si="1"/>
        <v>ttf-95</v>
      </c>
      <c r="J62" s="2988" t="e">
        <f>HLOOKUP(D62,pp3p1m!$9:$11,2,0)</f>
        <v>#N/A</v>
      </c>
    </row>
    <row r="63" spans="2:10" s="1211" customFormat="1">
      <c r="C63" s="1211" t="s">
        <v>6483</v>
      </c>
      <c r="D63" s="1211" t="s">
        <v>6490</v>
      </c>
      <c r="F63" s="1324" t="str">
        <f>IF(LEN(C63)&gt;0,VLOOKUP(C63,DG!A:C,3,0),"")</f>
        <v>Dây buộc cổ sứ cỡ dây 95mm2</v>
      </c>
      <c r="H63" s="2988" t="str">
        <f t="shared" si="1"/>
        <v>ssf-95</v>
      </c>
      <c r="J63" s="2988" t="e">
        <f>HLOOKUP(D63,pp3p1m!$9:$11,2,0)</f>
        <v>#N/A</v>
      </c>
    </row>
    <row r="64" spans="2:10" s="2988" customFormat="1">
      <c r="C64" s="2988" t="s">
        <v>6500</v>
      </c>
      <c r="D64" s="2988" t="s">
        <v>6506</v>
      </c>
      <c r="F64" s="2995" t="str">
        <f>IF(LEN(C64)&gt;0,VLOOKUP(C64,DG!A:C,3,0),"")</f>
        <v>Dây buộc đầu sứ cỡ dây 185mm2</v>
      </c>
      <c r="H64" s="2988" t="str">
        <f t="shared" si="1"/>
        <v>ttf-185</v>
      </c>
      <c r="J64" s="2988" t="e">
        <f>HLOOKUP(D64,pp3p1m!$9:$11,2,0)</f>
        <v>#N/A</v>
      </c>
    </row>
    <row r="65" spans="2:10" s="2988" customFormat="1" hidden="1">
      <c r="D65" s="2988" t="s">
        <v>4168</v>
      </c>
      <c r="F65" s="2995" t="str">
        <f>IF(LEN(C65)&gt;0,VLOOKUP(C65,DG!A:C,3,0),"")</f>
        <v/>
      </c>
    </row>
    <row r="66" spans="2:10">
      <c r="B66" s="1211"/>
      <c r="C66" s="1211" t="s">
        <v>236</v>
      </c>
      <c r="D66" t="s">
        <v>6417</v>
      </c>
      <c r="F66" s="1324" t="str">
        <f>IF(LEN(C66)&gt;0,VLOOKUP(C66,DG!A:C,3,0),"")</f>
        <v>Kẹp quai 4/0</v>
      </c>
      <c r="G66" s="1211"/>
      <c r="H66" s="2988" t="str">
        <f t="shared" ref="H66:H97" si="2">C66</f>
        <v>KQ4/0</v>
      </c>
      <c r="J66" s="2988" t="e">
        <f>HLOOKUP(D66,pp3p1m!$9:$11,2,0)</f>
        <v>#N/A</v>
      </c>
    </row>
    <row r="67" spans="2:10">
      <c r="B67" s="1211"/>
      <c r="C67" s="1211" t="s">
        <v>1049</v>
      </c>
      <c r="D67" t="s">
        <v>406</v>
      </c>
      <c r="F67" s="1324" t="str">
        <f>IF(LEN(C67)&gt;0,VLOOKUP(C67,DG!A:C,3,0),"")</f>
        <v>Kẹp hotline 4/0</v>
      </c>
      <c r="G67" s="1211"/>
      <c r="H67" s="2988" t="str">
        <f t="shared" si="2"/>
        <v>KH4/0</v>
      </c>
      <c r="J67" s="2988" t="e">
        <f>HLOOKUP(D67,pp3p1m!$9:$11,2,0)</f>
        <v>#N/A</v>
      </c>
    </row>
    <row r="68" spans="2:10">
      <c r="B68" s="1211"/>
      <c r="C68" s="1211" t="s">
        <v>1580</v>
      </c>
      <c r="D68" t="s">
        <v>3792</v>
      </c>
      <c r="F68" s="1324" t="str">
        <f>IF(LEN(C68)&gt;0,VLOOKUP(C68,DG!A:C,3,0),"")</f>
        <v>Kẹp ép WR cỡ dây 70mm2</v>
      </c>
      <c r="G68" s="1211"/>
      <c r="H68" s="2988" t="str">
        <f t="shared" si="2"/>
        <v>KE70</v>
      </c>
      <c r="J68" s="2988" t="e">
        <f>HLOOKUP(D68,pp3p1m!$9:$11,2,0)</f>
        <v>#N/A</v>
      </c>
    </row>
    <row r="69" spans="2:10">
      <c r="B69" s="1211"/>
      <c r="C69" s="1211" t="s">
        <v>240</v>
      </c>
      <c r="D69" t="s">
        <v>4086</v>
      </c>
      <c r="F69" s="1324" t="str">
        <f>IF(LEN(C69)&gt;0,VLOOKUP(C69,DG!A:C,3,0),"")</f>
        <v>Kẹp ép WR cỡ dây 95mm2</v>
      </c>
      <c r="G69" s="1211"/>
      <c r="H69" s="2988" t="str">
        <f t="shared" si="2"/>
        <v>KE95</v>
      </c>
      <c r="J69" s="2988" t="e">
        <f>HLOOKUP(D69,pp3p1m!$9:$11,2,0)</f>
        <v>#N/A</v>
      </c>
    </row>
    <row r="70" spans="2:10" s="1211" customFormat="1">
      <c r="C70" s="1211" t="s">
        <v>708</v>
      </c>
      <c r="D70" s="1211" t="s">
        <v>4087</v>
      </c>
      <c r="F70" s="1324" t="str">
        <f>IF(LEN(C70)&gt;0,VLOOKUP(C70,DG!A:C,3,0),"")</f>
        <v>Kẹp ép WR cỡ dây 185mm2</v>
      </c>
      <c r="H70" s="2988" t="str">
        <f t="shared" si="2"/>
        <v>KE185</v>
      </c>
      <c r="J70" s="2988" t="e">
        <f>HLOOKUP(D70,pp3p1m!$9:$11,2,0)</f>
        <v>#N/A</v>
      </c>
    </row>
    <row r="71" spans="2:10">
      <c r="B71" s="1211"/>
      <c r="C71" s="1211" t="s">
        <v>6510</v>
      </c>
      <c r="D71" t="s">
        <v>6511</v>
      </c>
      <c r="F71" s="1324" t="str">
        <f>IF(LEN(C71)&gt;0,VLOOKUP(C71,DG!A:C,3,0),"")</f>
        <v>Ống nối dây AC-185</v>
      </c>
      <c r="G71" s="1211"/>
      <c r="H71" s="2988" t="str">
        <f t="shared" si="2"/>
        <v>ON-AC-185</v>
      </c>
      <c r="J71" s="2988" t="e">
        <f>HLOOKUP(D71,pp3p1m!$9:$11,2,0)</f>
        <v>#N/A</v>
      </c>
    </row>
    <row r="72" spans="2:10">
      <c r="B72" s="1211"/>
      <c r="C72" s="1211" t="s">
        <v>4671</v>
      </c>
      <c r="D72" t="s">
        <v>6092</v>
      </c>
      <c r="F72" s="1324" t="str">
        <f>IF(LEN(C72)&gt;0,VLOOKUP(C72,DG!A:C,3,0),"")</f>
        <v>Ong co nhiệt</v>
      </c>
      <c r="G72" s="1211"/>
      <c r="H72" s="2988" t="str">
        <f t="shared" si="2"/>
        <v>OCN</v>
      </c>
      <c r="J72" s="2988" t="e">
        <f>HLOOKUP(D72,pp3p1m!$9:$11,2,0)</f>
        <v>#N/A</v>
      </c>
    </row>
    <row r="73" spans="2:10">
      <c r="B73" s="1211"/>
      <c r="C73" s="1211" t="s">
        <v>5796</v>
      </c>
      <c r="D73" t="s">
        <v>6093</v>
      </c>
      <c r="F73" s="1324" t="str">
        <f>IF(LEN(C73)&gt;0,VLOOKUP(C73,DG!A:C,3,0),"")</f>
        <v>Băng keo cách điện trung thế</v>
      </c>
      <c r="G73" s="1211"/>
      <c r="H73" s="2988" t="str">
        <f t="shared" si="2"/>
        <v>BANGKEOTT</v>
      </c>
      <c r="J73" s="2988" t="e">
        <f>HLOOKUP(D73,pp3p1m!$9:$11,2,0)</f>
        <v>#N/A</v>
      </c>
    </row>
    <row r="74" spans="2:10">
      <c r="B74" s="1211"/>
      <c r="C74" s="1211" t="s">
        <v>1652</v>
      </c>
      <c r="D74" t="s">
        <v>1898</v>
      </c>
      <c r="F74" s="1324" t="str">
        <f>IF(LEN(C74)&gt;0,VLOOKUP(C74,DG!A:C,3,0),"")</f>
        <v>FCO 24kV - 100A</v>
      </c>
      <c r="G74" s="1211"/>
      <c r="H74" s="2988" t="str">
        <f t="shared" si="2"/>
        <v>FCO100-22</v>
      </c>
      <c r="J74" s="2988" t="e">
        <f>HLOOKUP(D74,pp3p1m!$9:$11,2,0)</f>
        <v>#N/A</v>
      </c>
    </row>
    <row r="75" spans="2:10">
      <c r="B75" s="1211"/>
      <c r="C75" s="1211" t="s">
        <v>2184</v>
      </c>
      <c r="D75" t="s">
        <v>1912</v>
      </c>
      <c r="F75" s="1324" t="str">
        <f>IF(LEN(C75)&gt;0,VLOOKUP(C75,DG!A:C,3,0),"")</f>
        <v>Recloser 24kV 630A - 800A (MBA cấp nguồn + Phụ kiện)</v>
      </c>
      <c r="G75" s="1211"/>
      <c r="H75" s="2988" t="str">
        <f t="shared" si="2"/>
        <v>REC</v>
      </c>
      <c r="J75" s="2988" t="e">
        <f>HLOOKUP(D75,pp3p1m!$9:$11,2,0)</f>
        <v>#N/A</v>
      </c>
    </row>
    <row r="76" spans="2:10">
      <c r="B76" s="1211"/>
      <c r="C76" s="1211" t="s">
        <v>788</v>
      </c>
      <c r="D76" t="s">
        <v>788</v>
      </c>
      <c r="F76" s="1324" t="str">
        <f>IF(LEN(C76)&gt;0,VLOOKUP(C76,DG!A:C,3,0),"")</f>
        <v>LTD 1P 24KV - 800A</v>
      </c>
      <c r="G76" s="1211"/>
      <c r="H76" s="2988" t="str">
        <f t="shared" si="2"/>
        <v>LTD</v>
      </c>
      <c r="J76" s="2988" t="e">
        <f>HLOOKUP(D76,pp3p1m!$9:$11,2,0)</f>
        <v>#N/A</v>
      </c>
    </row>
    <row r="77" spans="2:10">
      <c r="B77" s="1211"/>
      <c r="C77" s="1211" t="s">
        <v>1373</v>
      </c>
      <c r="D77" t="s">
        <v>1193</v>
      </c>
      <c r="F77" s="1324" t="str">
        <f>IF(LEN(C77)&gt;0,VLOOKUP(C77,DG!A:C,3,0),"")</f>
        <v>Chống sét van LA-18KV-10KA</v>
      </c>
      <c r="G77" s="1211"/>
      <c r="H77" s="2988" t="str">
        <f t="shared" si="2"/>
        <v>LA18</v>
      </c>
      <c r="J77" s="2988" t="e">
        <f>HLOOKUP(D77,pp3p1m!$9:$11,2,0)</f>
        <v>#N/A</v>
      </c>
    </row>
    <row r="78" spans="2:10" hidden="1">
      <c r="B78" s="1211"/>
      <c r="C78" s="1211" t="s">
        <v>1152</v>
      </c>
      <c r="D78" t="s">
        <v>2780</v>
      </c>
      <c r="F78" s="1324" t="str">
        <f>IF(LEN(C78)&gt;0,VLOOKUP(C78,DG!A:C,3,0),"")</f>
        <v>Cáp nhôm ABC 4x120mm2</v>
      </c>
      <c r="G78" s="1211"/>
      <c r="H78" s="2988" t="str">
        <f t="shared" si="2"/>
        <v>ABC4x120</v>
      </c>
      <c r="J78" s="2988">
        <f>HLOOKUP(D78,pp3p1m!$9:$11,2,0)</f>
        <v>0</v>
      </c>
    </row>
    <row r="79" spans="2:10">
      <c r="B79" s="1211"/>
      <c r="C79" s="1211" t="s">
        <v>4659</v>
      </c>
      <c r="D79" t="s">
        <v>4659</v>
      </c>
      <c r="F79" s="1324" t="str">
        <f>IF(LEN(C79)&gt;0,VLOOKUP(C79,DG!A:C,3,0),"")</f>
        <v>Cáp nhôm lõi thép bọc 24KV AC/XLPE50 mm2</v>
      </c>
      <c r="G79" s="1211"/>
      <c r="H79" s="2988" t="str">
        <f t="shared" si="2"/>
        <v>ACX50</v>
      </c>
      <c r="J79" s="2988" t="e">
        <f>HLOOKUP(D79,pp3p1m!$9:$11,2,0)</f>
        <v>#N/A</v>
      </c>
    </row>
    <row r="80" spans="2:10">
      <c r="B80" s="1211"/>
      <c r="C80" s="1211" t="s">
        <v>4392</v>
      </c>
      <c r="D80" t="s">
        <v>4056</v>
      </c>
      <c r="F80" s="1324" t="str">
        <f>IF(LEN(C80)&gt;0,VLOOKUP(C80,DG!A:C,3,0),"")</f>
        <v/>
      </c>
      <c r="G80" s="1211"/>
      <c r="H80" s="2988" t="str">
        <f t="shared" si="2"/>
        <v/>
      </c>
      <c r="J80" s="2988" t="e">
        <f>HLOOKUP(D80,pp3p1m!$9:$11,2,0)</f>
        <v>#N/A</v>
      </c>
    </row>
    <row r="81" spans="2:10">
      <c r="B81" s="1211"/>
      <c r="C81" s="1211" t="s">
        <v>4392</v>
      </c>
      <c r="D81" t="s">
        <v>4057</v>
      </c>
      <c r="F81" s="1324" t="str">
        <f>IF(LEN(C81)&gt;0,VLOOKUP(C81,DG!A:C,3,0),"")</f>
        <v/>
      </c>
      <c r="G81" s="1211"/>
      <c r="H81" s="2988" t="str">
        <f t="shared" si="2"/>
        <v/>
      </c>
      <c r="J81" s="2988" t="e">
        <f>HLOOKUP(D81,pp3p1m!$9:$11,2,0)</f>
        <v>#N/A</v>
      </c>
    </row>
    <row r="82" spans="2:10">
      <c r="B82" s="1211"/>
      <c r="C82" s="1211" t="s">
        <v>4392</v>
      </c>
      <c r="D82" t="s">
        <v>4058</v>
      </c>
      <c r="F82" s="1324" t="str">
        <f>IF(LEN(C82)&gt;0,VLOOKUP(C82,DG!A:C,3,0),"")</f>
        <v/>
      </c>
      <c r="G82" s="1211"/>
      <c r="H82" s="2988" t="str">
        <f t="shared" si="2"/>
        <v/>
      </c>
      <c r="J82" s="2988" t="e">
        <f>HLOOKUP(D82,pp3p1m!$9:$11,2,0)</f>
        <v>#N/A</v>
      </c>
    </row>
    <row r="83" spans="2:10">
      <c r="B83" s="1211"/>
      <c r="C83" s="1211" t="s">
        <v>4392</v>
      </c>
      <c r="D83" t="s">
        <v>4059</v>
      </c>
      <c r="F83" s="1324" t="str">
        <f>IF(LEN(C83)&gt;0,VLOOKUP(C83,DG!A:C,3,0),"")</f>
        <v/>
      </c>
      <c r="G83" s="1211"/>
      <c r="H83" s="2988" t="str">
        <f t="shared" si="2"/>
        <v/>
      </c>
      <c r="J83" s="2988" t="e">
        <f>HLOOKUP(D83,pp3p1m!$9:$11,2,0)</f>
        <v>#N/A</v>
      </c>
    </row>
    <row r="84" spans="2:10">
      <c r="B84" s="1211"/>
      <c r="C84" s="1211" t="s">
        <v>4392</v>
      </c>
      <c r="D84" t="s">
        <v>4060</v>
      </c>
      <c r="F84" s="1324" t="str">
        <f>IF(LEN(C84)&gt;0,VLOOKUP(C84,DG!A:C,3,0),"")</f>
        <v/>
      </c>
      <c r="G84" s="1211"/>
      <c r="H84" s="2988" t="str">
        <f t="shared" si="2"/>
        <v/>
      </c>
      <c r="J84" s="2988" t="e">
        <f>HLOOKUP(D84,pp3p1m!$9:$11,2,0)</f>
        <v>#N/A</v>
      </c>
    </row>
    <row r="85" spans="2:10">
      <c r="B85" s="1211"/>
      <c r="C85" s="1211" t="s">
        <v>4392</v>
      </c>
      <c r="D85" t="s">
        <v>4061</v>
      </c>
      <c r="F85" s="1324" t="str">
        <f>IF(LEN(C85)&gt;0,VLOOKUP(C85,DG!A:C,3,0),"")</f>
        <v/>
      </c>
      <c r="G85" s="1211"/>
      <c r="H85" s="2988" t="str">
        <f t="shared" si="2"/>
        <v/>
      </c>
      <c r="J85" s="2988" t="e">
        <f>HLOOKUP(D85,pp3p1m!$9:$11,2,0)</f>
        <v>#N/A</v>
      </c>
    </row>
    <row r="86" spans="2:10" s="2988" customFormat="1">
      <c r="C86" s="2988" t="s">
        <v>4392</v>
      </c>
      <c r="D86" s="2988" t="s">
        <v>4062</v>
      </c>
      <c r="F86" s="2995" t="str">
        <f>IF(LEN(C86)&gt;0,VLOOKUP(C86,DG!A:C,3,0),"")</f>
        <v/>
      </c>
      <c r="H86" s="2988" t="str">
        <f t="shared" si="2"/>
        <v/>
      </c>
      <c r="J86" s="2988" t="e">
        <f>HLOOKUP(D86,pp3p1m!$9:$11,2,0)</f>
        <v>#N/A</v>
      </c>
    </row>
    <row r="87" spans="2:10">
      <c r="B87" s="1211"/>
      <c r="C87" s="1211" t="s">
        <v>4392</v>
      </c>
      <c r="D87" t="s">
        <v>4063</v>
      </c>
      <c r="F87" s="1324" t="str">
        <f>IF(LEN(C87)&gt;0,VLOOKUP(C87,DG!A:C,3,0),"")</f>
        <v/>
      </c>
      <c r="G87" s="1211"/>
      <c r="H87" s="2988" t="str">
        <f t="shared" si="2"/>
        <v/>
      </c>
      <c r="J87" s="2988" t="e">
        <f>HLOOKUP(D87,pp3p1m!$9:$11,2,0)</f>
        <v>#N/A</v>
      </c>
    </row>
    <row r="88" spans="2:10" s="2988" customFormat="1">
      <c r="C88" s="2988" t="s">
        <v>4392</v>
      </c>
      <c r="D88" s="2988" t="s">
        <v>4064</v>
      </c>
      <c r="F88" s="2995" t="str">
        <f>IF(LEN(C88)&gt;0,VLOOKUP(C88,DG!A:C,3,0),"")</f>
        <v/>
      </c>
      <c r="H88" s="2988" t="str">
        <f t="shared" si="2"/>
        <v/>
      </c>
      <c r="J88" s="2988" t="e">
        <f>HLOOKUP(D88,pp3p1m!$9:$11,2,0)</f>
        <v>#N/A</v>
      </c>
    </row>
    <row r="89" spans="2:10">
      <c r="B89" s="1211"/>
      <c r="C89" s="1211" t="s">
        <v>4392</v>
      </c>
      <c r="D89" t="s">
        <v>4065</v>
      </c>
      <c r="F89" s="1324" t="str">
        <f>IF(LEN(C89)&gt;0,VLOOKUP(C89,DG!A:C,3,0),"")</f>
        <v/>
      </c>
      <c r="G89" s="1211"/>
      <c r="H89" s="2988" t="str">
        <f t="shared" si="2"/>
        <v/>
      </c>
      <c r="J89" s="2988" t="e">
        <f>HLOOKUP(D89,pp3p1m!$9:$11,2,0)</f>
        <v>#N/A</v>
      </c>
    </row>
    <row r="90" spans="2:10">
      <c r="B90" s="1211"/>
      <c r="C90" s="1211" t="s">
        <v>4392</v>
      </c>
      <c r="D90" t="s">
        <v>4066</v>
      </c>
      <c r="F90" s="1324" t="str">
        <f>IF(LEN(C90)&gt;0,VLOOKUP(C90,DG!A:C,3,0),"")</f>
        <v/>
      </c>
      <c r="G90" s="1211"/>
      <c r="H90" s="2988" t="str">
        <f t="shared" si="2"/>
        <v/>
      </c>
      <c r="J90" s="2988" t="e">
        <f>HLOOKUP(D90,pp3p1m!$9:$11,2,0)</f>
        <v>#N/A</v>
      </c>
    </row>
    <row r="91" spans="2:10">
      <c r="B91" s="1211"/>
      <c r="C91" s="1211" t="s">
        <v>4392</v>
      </c>
      <c r="D91" t="s">
        <v>4067</v>
      </c>
      <c r="F91" s="1324" t="str">
        <f>IF(LEN(C91)&gt;0,VLOOKUP(C91,DG!A:C,3,0),"")</f>
        <v/>
      </c>
      <c r="G91" s="1211"/>
      <c r="H91" s="2988" t="str">
        <f t="shared" si="2"/>
        <v/>
      </c>
      <c r="J91" s="2988" t="e">
        <f>HLOOKUP(D91,pp3p1m!$9:$11,2,0)</f>
        <v>#N/A</v>
      </c>
    </row>
    <row r="92" spans="2:10">
      <c r="B92" s="1211"/>
      <c r="C92" s="1211" t="s">
        <v>4392</v>
      </c>
      <c r="D92" t="s">
        <v>4068</v>
      </c>
      <c r="F92" s="1324" t="str">
        <f>IF(LEN(C92)&gt;0,VLOOKUP(C92,DG!A:C,3,0),"")</f>
        <v/>
      </c>
      <c r="G92" s="1211"/>
      <c r="H92" s="2988" t="str">
        <f t="shared" si="2"/>
        <v/>
      </c>
      <c r="J92" s="2988" t="e">
        <f>HLOOKUP(D92,pp3p1m!$9:$11,2,0)</f>
        <v>#N/A</v>
      </c>
    </row>
    <row r="93" spans="2:10">
      <c r="B93" s="1211"/>
      <c r="C93" s="1211" t="s">
        <v>4392</v>
      </c>
      <c r="D93" t="s">
        <v>4069</v>
      </c>
      <c r="F93" s="1324" t="str">
        <f>IF(LEN(C93)&gt;0,VLOOKUP(C93,DG!A:C,3,0),"")</f>
        <v/>
      </c>
      <c r="G93" s="1211"/>
      <c r="H93" s="2988" t="str">
        <f t="shared" si="2"/>
        <v/>
      </c>
      <c r="J93" s="2988" t="e">
        <f>HLOOKUP(D93,pp3p1m!$9:$11,2,0)</f>
        <v>#N/A</v>
      </c>
    </row>
    <row r="94" spans="2:10">
      <c r="B94" s="1211"/>
      <c r="C94" s="1211" t="s">
        <v>4392</v>
      </c>
      <c r="D94" t="s">
        <v>4070</v>
      </c>
      <c r="F94" s="1324" t="str">
        <f>IF(LEN(C94)&gt;0,VLOOKUP(C94,DG!A:C,3,0),"")</f>
        <v/>
      </c>
      <c r="G94" s="1211"/>
      <c r="H94" s="2988" t="str">
        <f t="shared" si="2"/>
        <v/>
      </c>
      <c r="J94" s="2988" t="e">
        <f>HLOOKUP(D94,pp3p1m!$9:$11,2,0)</f>
        <v>#N/A</v>
      </c>
    </row>
    <row r="95" spans="2:10">
      <c r="B95" s="1211"/>
      <c r="C95" s="1211" t="s">
        <v>4392</v>
      </c>
      <c r="D95" t="s">
        <v>4071</v>
      </c>
      <c r="F95" s="1324" t="str">
        <f>IF(LEN(C95)&gt;0,VLOOKUP(C95,DG!A:C,3,0),"")</f>
        <v/>
      </c>
      <c r="G95" s="1211"/>
      <c r="H95" s="2988" t="str">
        <f t="shared" si="2"/>
        <v/>
      </c>
      <c r="J95" s="2988" t="e">
        <f>HLOOKUP(D95,pp3p1m!$9:$11,2,0)</f>
        <v>#N/A</v>
      </c>
    </row>
    <row r="96" spans="2:10">
      <c r="B96" s="1211"/>
      <c r="C96" s="1211" t="s">
        <v>4392</v>
      </c>
      <c r="D96" t="s">
        <v>2257</v>
      </c>
      <c r="F96" s="1324" t="str">
        <f>IF(LEN(C96)&gt;0,VLOOKUP(C96,DG!A:C,3,0),"")</f>
        <v/>
      </c>
      <c r="G96" s="1211"/>
      <c r="H96" s="2988" t="str">
        <f t="shared" si="2"/>
        <v/>
      </c>
      <c r="J96" s="2988" t="e">
        <f>HLOOKUP(D96,pp3p1m!$9:$11,2,0)</f>
        <v>#N/A</v>
      </c>
    </row>
    <row r="97" spans="2:10">
      <c r="B97" s="1211"/>
      <c r="C97" s="1211" t="s">
        <v>300</v>
      </c>
      <c r="D97" t="s">
        <v>300</v>
      </c>
      <c r="F97" s="1324" t="str">
        <f>IF(LEN(C97)&gt;0,VLOOKUP(C97,DG!A:C,3,0),"")</f>
        <v>Trụ bê tông ly tâm 10.5m</v>
      </c>
      <c r="G97" s="1211"/>
      <c r="H97" s="2988" t="str">
        <f t="shared" si="2"/>
        <v>BTLT 10.5</v>
      </c>
      <c r="J97" s="2988" t="e">
        <f>HLOOKUP(D97,pp3p1m!$9:$11,2,0)</f>
        <v>#N/A</v>
      </c>
    </row>
    <row r="98" spans="2:10">
      <c r="B98" s="1211"/>
      <c r="C98" s="1211" t="s">
        <v>1186</v>
      </c>
      <c r="D98" t="s">
        <v>1186</v>
      </c>
      <c r="F98" s="1324" t="str">
        <f>IF(LEN(C98)&gt;0,VLOOKUP(C98,DG!A:C,3,0),"")</f>
        <v>Trụ bê tông ly tâm 12m trồng thủ công</v>
      </c>
      <c r="G98" s="1211"/>
      <c r="H98" s="2988" t="str">
        <f t="shared" ref="H98:H129" si="3">C98</f>
        <v>BTLT 12 TC</v>
      </c>
      <c r="J98" s="2988" t="e">
        <f>HLOOKUP(D98,pp3p1m!$9:$11,2,0)</f>
        <v>#N/A</v>
      </c>
    </row>
    <row r="99" spans="2:10">
      <c r="B99" s="1211"/>
      <c r="C99" s="1211" t="s">
        <v>759</v>
      </c>
      <c r="D99" t="s">
        <v>759</v>
      </c>
      <c r="F99" s="1324" t="str">
        <f>IF(LEN(C99)&gt;0,VLOOKUP(C99,DG!A:C,3,0),"")</f>
        <v>Trụ bê tông ly tâm 20m</v>
      </c>
      <c r="G99" s="1211"/>
      <c r="H99" s="2988" t="str">
        <f t="shared" si="3"/>
        <v>BTLT 20</v>
      </c>
      <c r="J99" s="2988" t="e">
        <f>HLOOKUP(D99,pp3p1m!$9:$11,2,0)</f>
        <v>#N/A</v>
      </c>
    </row>
    <row r="100" spans="2:10">
      <c r="B100" s="1211"/>
      <c r="C100" s="1211" t="s">
        <v>4706</v>
      </c>
      <c r="D100" t="s">
        <v>4706</v>
      </c>
      <c r="F100" s="1324" t="str">
        <f>IF(LEN(C100)&gt;0,VLOOKUP(C100,DG!A:C,3,0),"")</f>
        <v>Bộ đà composite 0,8m</v>
      </c>
      <c r="G100" s="1211"/>
      <c r="H100" s="2988" t="str">
        <f t="shared" si="3"/>
        <v>X-com800</v>
      </c>
      <c r="J100" s="2988" t="e">
        <f>HLOOKUP(D100,pp3p1m!$9:$11,2,0)</f>
        <v>#N/A</v>
      </c>
    </row>
    <row r="101" spans="2:10">
      <c r="B101" s="1211"/>
      <c r="C101" s="1211" t="s">
        <v>303</v>
      </c>
      <c r="D101" t="s">
        <v>303</v>
      </c>
      <c r="F101" s="1324" t="str">
        <f>IF(LEN(C101)&gt;0,VLOOKUP(C101,DG!A:C,3,0),"")</f>
        <v>Móng M12a</v>
      </c>
      <c r="G101" s="1211"/>
      <c r="H101" s="2988" t="str">
        <f t="shared" si="3"/>
        <v>M12a</v>
      </c>
      <c r="J101" s="2988" t="e">
        <f>HLOOKUP(D101,pp3p1m!$9:$11,2,0)</f>
        <v>#N/A</v>
      </c>
    </row>
    <row r="102" spans="2:10">
      <c r="B102" s="1211"/>
      <c r="C102" s="1211" t="s">
        <v>2263</v>
      </c>
      <c r="D102" t="s">
        <v>2263</v>
      </c>
      <c r="F102" s="1324" t="str">
        <f>IF(LEN(C102)&gt;0,VLOOKUP(C102,DG!A:C,3,0),"")</f>
        <v>Móng M12b</v>
      </c>
      <c r="G102" s="1211"/>
      <c r="H102" s="2988" t="str">
        <f t="shared" si="3"/>
        <v>M12b</v>
      </c>
      <c r="J102" s="2988" t="e">
        <f>HLOOKUP(D102,pp3p1m!$9:$11,2,0)</f>
        <v>#N/A</v>
      </c>
    </row>
    <row r="103" spans="2:10">
      <c r="B103" s="1211"/>
      <c r="C103" s="1211" t="s">
        <v>304</v>
      </c>
      <c r="D103" t="s">
        <v>304</v>
      </c>
      <c r="F103" s="1324" t="str">
        <f>IF(LEN(C103)&gt;0,VLOOKUP(C103,DG!A:C,3,0),"")</f>
        <v>Móng M12aa</v>
      </c>
      <c r="G103" s="1211"/>
      <c r="H103" s="2988" t="str">
        <f t="shared" si="3"/>
        <v>M12aa</v>
      </c>
      <c r="J103" s="2988" t="e">
        <f>HLOOKUP(D103,pp3p1m!$9:$11,2,0)</f>
        <v>#N/A</v>
      </c>
    </row>
    <row r="104" spans="2:10">
      <c r="B104" s="1211"/>
      <c r="C104" s="1211" t="s">
        <v>638</v>
      </c>
      <c r="D104" t="s">
        <v>638</v>
      </c>
      <c r="F104" s="1324" t="str">
        <f>IF(LEN(C104)&gt;0,VLOOKUP(C104,DG!A:C,3,0),"")</f>
        <v>Móng M12ba</v>
      </c>
      <c r="G104" s="1211"/>
      <c r="H104" s="2988" t="str">
        <f t="shared" si="3"/>
        <v>M12ba</v>
      </c>
      <c r="J104" s="2988" t="e">
        <f>HLOOKUP(D104,pp3p1m!$9:$11,2,0)</f>
        <v>#N/A</v>
      </c>
    </row>
    <row r="105" spans="2:10">
      <c r="B105" s="1211"/>
      <c r="C105" s="1211" t="s">
        <v>647</v>
      </c>
      <c r="D105" t="s">
        <v>647</v>
      </c>
      <c r="F105" s="1324" t="str">
        <f>IF(LEN(C105)&gt;0,VLOOKUP(C105,DG!A:C,3,0),"")</f>
        <v>Móng M12bb</v>
      </c>
      <c r="G105" s="1211"/>
      <c r="H105" s="2988" t="str">
        <f t="shared" si="3"/>
        <v>M12bb</v>
      </c>
      <c r="J105" s="2988" t="e">
        <f>HLOOKUP(D105,pp3p1m!$9:$11,2,0)</f>
        <v>#N/A</v>
      </c>
    </row>
    <row r="106" spans="2:10">
      <c r="B106" s="1211"/>
      <c r="C106" s="1211" t="s">
        <v>646</v>
      </c>
      <c r="D106" t="s">
        <v>646</v>
      </c>
      <c r="F106" s="1324" t="str">
        <f>IF(LEN(C106)&gt;0,VLOOKUP(C106,DG!A:C,3,0),"")</f>
        <v>Móng M12-2a</v>
      </c>
      <c r="G106" s="1211"/>
      <c r="H106" s="2988" t="str">
        <f t="shared" si="3"/>
        <v>M12-2a</v>
      </c>
      <c r="J106" s="2988" t="e">
        <f>HLOOKUP(D106,pp3p1m!$9:$11,2,0)</f>
        <v>#N/A</v>
      </c>
    </row>
    <row r="107" spans="2:10">
      <c r="B107" s="1211"/>
      <c r="C107" s="1211" t="s">
        <v>1901</v>
      </c>
      <c r="D107" t="s">
        <v>1901</v>
      </c>
      <c r="F107" s="1324" t="str">
        <f>IF(LEN(C107)&gt;0,VLOOKUP(C107,DG!A:C,3,0),"")</f>
        <v>Móng M12-2b</v>
      </c>
      <c r="G107" s="1211"/>
      <c r="H107" s="2988" t="str">
        <f t="shared" si="3"/>
        <v>M12-2b</v>
      </c>
      <c r="J107" s="2988" t="e">
        <f>HLOOKUP(D107,pp3p1m!$9:$11,2,0)</f>
        <v>#N/A</v>
      </c>
    </row>
    <row r="108" spans="2:10">
      <c r="B108" s="1211"/>
      <c r="C108" s="1211" t="s">
        <v>511</v>
      </c>
      <c r="D108" s="1211" t="s">
        <v>511</v>
      </c>
      <c r="F108" s="1324" t="str">
        <f>IF(LEN(C108)&gt;0,VLOOKUP(C108,DG!A:C,3,0),"")</f>
        <v>Móng M12-2bn</v>
      </c>
      <c r="G108" s="1211"/>
      <c r="H108" s="2988" t="str">
        <f t="shared" si="3"/>
        <v>M12-2bn</v>
      </c>
      <c r="J108" s="2988" t="e">
        <f>HLOOKUP(D108,pp3p1m!$9:$11,2,0)</f>
        <v>#N/A</v>
      </c>
    </row>
    <row r="109" spans="2:10">
      <c r="B109" s="1211"/>
      <c r="C109" s="1211" t="s">
        <v>2180</v>
      </c>
      <c r="D109" s="1211" t="s">
        <v>2180</v>
      </c>
      <c r="F109" s="1324" t="str">
        <f>IF(LEN(C109)&gt;0,VLOOKUP(C109,DG!A:C,3,0),"")</f>
        <v>Móng M12b-aa(hh)</v>
      </c>
      <c r="G109" s="1211"/>
      <c r="H109" s="2988" t="str">
        <f t="shared" si="3"/>
        <v>M12b-aa(hh)</v>
      </c>
      <c r="J109" s="2988" t="e">
        <f>HLOOKUP(D109,pp3p1m!$9:$11,2,0)</f>
        <v>#N/A</v>
      </c>
    </row>
    <row r="110" spans="2:10">
      <c r="B110" s="1211"/>
      <c r="C110" s="1211" t="s">
        <v>744</v>
      </c>
      <c r="D110" s="1211" t="s">
        <v>744</v>
      </c>
      <c r="F110" s="1324" t="str">
        <f>IF(LEN(C110)&gt;0,VLOOKUP(C110,DG!A:C,3,0),"")</f>
        <v>Móng chống ngập nước</v>
      </c>
      <c r="G110" s="1211"/>
      <c r="H110" s="2988" t="str">
        <f t="shared" si="3"/>
        <v>M12 CN</v>
      </c>
      <c r="J110" s="2988" t="e">
        <f>HLOOKUP(D110,pp3p1m!$9:$11,2,0)</f>
        <v>#N/A</v>
      </c>
    </row>
    <row r="111" spans="2:10">
      <c r="B111" s="1211"/>
      <c r="C111" s="1211" t="s">
        <v>2304</v>
      </c>
      <c r="D111" s="1211" t="s">
        <v>2304</v>
      </c>
      <c r="F111" s="1324" t="str">
        <f>IF(LEN(C111)&gt;0,VLOOKUP(C111,DG!A:C,3,0),"")</f>
        <v>Móng M12 phá đá</v>
      </c>
      <c r="G111" s="1211"/>
      <c r="H111" s="2988" t="str">
        <f t="shared" si="3"/>
        <v>M12 PĐ</v>
      </c>
      <c r="J111" s="2988" t="e">
        <f>HLOOKUP(D111,pp3p1m!$9:$11,2,0)</f>
        <v>#N/A</v>
      </c>
    </row>
    <row r="112" spans="2:10">
      <c r="B112" s="1211"/>
      <c r="C112" s="1211" t="s">
        <v>2264</v>
      </c>
      <c r="D112" s="1211" t="s">
        <v>2264</v>
      </c>
      <c r="F112" s="1324" t="str">
        <f>IF(LEN(C112)&gt;0,VLOOKUP(C112,DG!A:C,3,0),"")</f>
        <v>Móng bê tông trụ đôi 12m tim 500</v>
      </c>
      <c r="G112" s="1211"/>
      <c r="H112" s="2988" t="str">
        <f t="shared" si="3"/>
        <v>M12BT P500</v>
      </c>
      <c r="J112" s="2988" t="e">
        <f>HLOOKUP(D112,pp3p1m!$9:$11,2,0)</f>
        <v>#N/A</v>
      </c>
    </row>
    <row r="113" spans="2:10">
      <c r="B113" s="1211"/>
      <c r="C113" s="1211" t="s">
        <v>780</v>
      </c>
      <c r="D113" s="1211" t="s">
        <v>780</v>
      </c>
      <c r="F113" s="1324" t="str">
        <f>IF(LEN(C113)&gt;0,VLOOKUP(C113,DG!A:C,3,0),"")</f>
        <v>Móng M14</v>
      </c>
      <c r="G113" s="1211"/>
      <c r="H113" s="2988" t="str">
        <f t="shared" si="3"/>
        <v>M14</v>
      </c>
      <c r="J113" s="2988" t="e">
        <f>HLOOKUP(D113,pp3p1m!$9:$11,2,0)</f>
        <v>#N/A</v>
      </c>
    </row>
    <row r="114" spans="2:10">
      <c r="B114" s="1211"/>
      <c r="C114" s="1211" t="s">
        <v>648</v>
      </c>
      <c r="D114" s="1211" t="s">
        <v>648</v>
      </c>
      <c r="F114" s="1324" t="str">
        <f>IF(LEN(C114)&gt;0,VLOOKUP(C114,DG!A:C,3,0),"")</f>
        <v>Móng M14a</v>
      </c>
      <c r="G114" s="1211"/>
      <c r="H114" s="2988" t="str">
        <f t="shared" si="3"/>
        <v>M14a</v>
      </c>
      <c r="J114" s="2988" t="e">
        <f>HLOOKUP(D114,pp3p1m!$9:$11,2,0)</f>
        <v>#N/A</v>
      </c>
    </row>
    <row r="115" spans="2:10">
      <c r="B115" s="1211"/>
      <c r="C115" s="1211" t="s">
        <v>750</v>
      </c>
      <c r="D115" s="1211" t="s">
        <v>750</v>
      </c>
      <c r="F115" s="1324" t="str">
        <f>IF(LEN(C115)&gt;0,VLOOKUP(C115,DG!A:C,3,0),"")</f>
        <v>Móng M14b</v>
      </c>
      <c r="G115" s="1211"/>
      <c r="H115" s="2988" t="str">
        <f t="shared" si="3"/>
        <v>M14b</v>
      </c>
      <c r="J115" s="2988" t="e">
        <f>HLOOKUP(D115,pp3p1m!$9:$11,2,0)</f>
        <v>#N/A</v>
      </c>
    </row>
    <row r="116" spans="2:10" s="1211" customFormat="1">
      <c r="C116" s="1211" t="s">
        <v>649</v>
      </c>
      <c r="D116" s="1211" t="s">
        <v>649</v>
      </c>
      <c r="F116" s="1324" t="str">
        <f>IF(LEN(C116)&gt;0,VLOOKUP(C116,DG!A:C,3,0),"")</f>
        <v>Móng M14aa</v>
      </c>
      <c r="H116" s="2988" t="str">
        <f t="shared" si="3"/>
        <v>M14aa</v>
      </c>
      <c r="J116" s="2988" t="e">
        <f>HLOOKUP(D116,pp3p1m!$9:$11,2,0)</f>
        <v>#N/A</v>
      </c>
    </row>
    <row r="117" spans="2:10">
      <c r="B117" s="1211"/>
      <c r="C117" s="1211" t="s">
        <v>483</v>
      </c>
      <c r="D117" t="s">
        <v>483</v>
      </c>
      <c r="F117" s="1324" t="str">
        <f>IF(LEN(C117)&gt;0,VLOOKUP(C117,DG!A:C,3,0),"")</f>
        <v>Móng M14ba</v>
      </c>
      <c r="G117" s="1211"/>
      <c r="H117" s="2988" t="str">
        <f t="shared" si="3"/>
        <v>M14ba</v>
      </c>
      <c r="J117" s="2988" t="e">
        <f>HLOOKUP(D117,pp3p1m!$9:$11,2,0)</f>
        <v>#N/A</v>
      </c>
    </row>
    <row r="118" spans="2:10">
      <c r="B118" s="1211"/>
      <c r="C118" s="1211" t="s">
        <v>484</v>
      </c>
      <c r="D118" t="s">
        <v>484</v>
      </c>
      <c r="F118" s="1324" t="str">
        <f>IF(LEN(C118)&gt;0,VLOOKUP(C118,DG!A:C,3,0),"")</f>
        <v>Móng M14bb</v>
      </c>
      <c r="G118" s="1211"/>
      <c r="H118" s="2988" t="str">
        <f t="shared" si="3"/>
        <v>M14bb</v>
      </c>
      <c r="J118" s="2988" t="e">
        <f>HLOOKUP(D118,pp3p1m!$9:$11,2,0)</f>
        <v>#N/A</v>
      </c>
    </row>
    <row r="119" spans="2:10">
      <c r="B119" s="1211"/>
      <c r="C119" s="1211" t="s">
        <v>650</v>
      </c>
      <c r="D119" t="s">
        <v>650</v>
      </c>
      <c r="F119" s="1324" t="str">
        <f>IF(LEN(C119)&gt;0,VLOOKUP(C119,DG!A:C,3,0),"")</f>
        <v>Móng M14-2a</v>
      </c>
      <c r="G119" s="1211"/>
      <c r="H119" s="2988" t="str">
        <f t="shared" si="3"/>
        <v>M14-2a</v>
      </c>
      <c r="J119" s="2988" t="e">
        <f>HLOOKUP(D119,pp3p1m!$9:$11,2,0)</f>
        <v>#N/A</v>
      </c>
    </row>
    <row r="120" spans="2:10">
      <c r="B120" s="1211"/>
      <c r="C120" s="1211" t="s">
        <v>1642</v>
      </c>
      <c r="D120" t="s">
        <v>1642</v>
      </c>
      <c r="F120" s="1324" t="str">
        <f>IF(LEN(C120)&gt;0,VLOOKUP(C120,DG!A:C,3,0),"")</f>
        <v>Móng M14-2b</v>
      </c>
      <c r="G120" s="1211"/>
      <c r="H120" s="2988" t="str">
        <f t="shared" si="3"/>
        <v>M14-2b</v>
      </c>
      <c r="J120" s="2988" t="e">
        <f>HLOOKUP(D120,pp3p1m!$9:$11,2,0)</f>
        <v>#N/A</v>
      </c>
    </row>
    <row r="121" spans="2:10">
      <c r="B121" s="1211"/>
      <c r="C121" s="1211" t="s">
        <v>285</v>
      </c>
      <c r="D121" t="s">
        <v>285</v>
      </c>
      <c r="F121" s="1324" t="str">
        <f>IF(LEN(C121)&gt;0,VLOOKUP(C121,DG!A:C,3,0),"")</f>
        <v>Móng M14-2bn</v>
      </c>
      <c r="G121" s="1211"/>
      <c r="H121" s="2988" t="str">
        <f t="shared" si="3"/>
        <v>M14-2bn</v>
      </c>
      <c r="J121" s="2988" t="e">
        <f>HLOOKUP(D121,pp3p1m!$9:$11,2,0)</f>
        <v>#N/A</v>
      </c>
    </row>
    <row r="122" spans="2:10">
      <c r="B122" s="1211"/>
      <c r="C122" s="1211" t="s">
        <v>987</v>
      </c>
      <c r="D122" t="s">
        <v>987</v>
      </c>
      <c r="F122" s="1324" t="str">
        <f>IF(LEN(C122)&gt;0,VLOOKUP(C122,DG!A:C,3,0),"")</f>
        <v>Móng M14-4b</v>
      </c>
      <c r="G122" s="1211"/>
      <c r="H122" s="2988" t="str">
        <f t="shared" si="3"/>
        <v>M14-4b</v>
      </c>
      <c r="J122" s="2988" t="e">
        <f>HLOOKUP(D122,pp3p1m!$9:$11,2,0)</f>
        <v>#N/A</v>
      </c>
    </row>
    <row r="123" spans="2:10">
      <c r="B123" s="1211"/>
      <c r="C123" s="1211" t="s">
        <v>312</v>
      </c>
      <c r="D123" t="s">
        <v>312</v>
      </c>
      <c r="F123" s="1324" t="str">
        <f>IF(LEN(C123)&gt;0,VLOOKUP(C123,DG!A:C,3,0),"")</f>
        <v>Móng BTCL-14-500</v>
      </c>
      <c r="G123" s="1211"/>
      <c r="H123" s="2988" t="str">
        <f t="shared" si="3"/>
        <v>BTCL-14-500</v>
      </c>
      <c r="J123" s="2988" t="e">
        <f>HLOOKUP(D123,pp3p1m!$9:$11,2,0)</f>
        <v>#N/A</v>
      </c>
    </row>
    <row r="124" spans="2:10">
      <c r="B124" s="1211"/>
      <c r="C124" s="1211" t="s">
        <v>891</v>
      </c>
      <c r="D124" t="s">
        <v>891</v>
      </c>
      <c r="F124" s="1324" t="str">
        <f>IF(LEN(C124)&gt;0,VLOOKUP(C124,DG!A:C,3,0),"")</f>
        <v>Móng M20-4b</v>
      </c>
      <c r="G124" s="1211"/>
      <c r="H124" s="2988" t="str">
        <f t="shared" si="3"/>
        <v>M20-4b</v>
      </c>
      <c r="J124" s="2988" t="e">
        <f>HLOOKUP(D124,pp3p1m!$9:$11,2,0)</f>
        <v>#N/A</v>
      </c>
    </row>
    <row r="125" spans="2:10">
      <c r="B125" s="1211"/>
      <c r="C125" s="1211" t="s">
        <v>835</v>
      </c>
      <c r="D125" t="s">
        <v>835</v>
      </c>
      <c r="F125" s="1324" t="str">
        <f>IF(LEN(C125)&gt;0,VLOOKUP(C125,DG!A:C,3,0),"")</f>
        <v>Bộ chằng xuống đơn cho trụ 10,5m: CX10-B</v>
      </c>
      <c r="G125" s="1211"/>
      <c r="H125" s="2988" t="str">
        <f t="shared" si="3"/>
        <v>CX10-B</v>
      </c>
      <c r="J125" s="2988" t="e">
        <f>HLOOKUP(D125,pp3p1m!$9:$11,2,0)</f>
        <v>#N/A</v>
      </c>
    </row>
    <row r="126" spans="2:10" ht="19.2" customHeight="1">
      <c r="B126" s="1211"/>
      <c r="C126" s="1211" t="s">
        <v>836</v>
      </c>
      <c r="D126" t="s">
        <v>836</v>
      </c>
      <c r="F126" s="1324" t="str">
        <f>IF(LEN(C126)&gt;0,VLOOKUP(C126,DG!A:C,3,0),"")</f>
        <v>Bộ chằng lệch đơn cho trụ 10,5m: CL10-B</v>
      </c>
      <c r="G126" s="1211"/>
      <c r="H126" s="2988" t="str">
        <f t="shared" si="3"/>
        <v>CL10-B</v>
      </c>
      <c r="J126" s="2988" t="e">
        <f>HLOOKUP(D126,pp3p1m!$9:$11,2,0)</f>
        <v>#N/A</v>
      </c>
    </row>
    <row r="127" spans="2:10">
      <c r="B127" s="1211"/>
      <c r="C127" s="1211" t="s">
        <v>837</v>
      </c>
      <c r="D127" t="s">
        <v>837</v>
      </c>
      <c r="F127" s="1324" t="str">
        <f>IF(LEN(C127)&gt;0,VLOOKUP(C127,DG!A:C,3,0),"")</f>
        <v>Bộ chằng xuống kép cho trụ 10,5m: CXX10-B</v>
      </c>
      <c r="G127" s="1211"/>
      <c r="H127" s="2988" t="str">
        <f t="shared" si="3"/>
        <v>CXX10-B</v>
      </c>
      <c r="J127" s="2988" t="e">
        <f>HLOOKUP(D127,pp3p1m!$9:$11,2,0)</f>
        <v>#N/A</v>
      </c>
    </row>
    <row r="128" spans="2:10">
      <c r="B128" s="1211"/>
      <c r="C128" s="1211" t="s">
        <v>663</v>
      </c>
      <c r="D128" t="s">
        <v>663</v>
      </c>
      <c r="F128" s="1324" t="str">
        <f>IF(LEN(C128)&gt;0,VLOOKUP(C128,DG!A:C,3,0),"")</f>
        <v>Bộ chằng xuống đơn cho trụ 12m: CX12-B</v>
      </c>
      <c r="G128" s="1211"/>
      <c r="H128" s="2988" t="str">
        <f t="shared" si="3"/>
        <v>CX12-B</v>
      </c>
      <c r="J128" s="2988" t="e">
        <f>HLOOKUP(D128,pp3p1m!$9:$11,2,0)</f>
        <v>#N/A</v>
      </c>
    </row>
    <row r="129" spans="2:10">
      <c r="B129" s="1211"/>
      <c r="C129" s="1211" t="s">
        <v>664</v>
      </c>
      <c r="D129" t="s">
        <v>664</v>
      </c>
      <c r="F129" s="1324" t="str">
        <f>IF(LEN(C129)&gt;0,VLOOKUP(C129,DG!A:C,3,0),"")</f>
        <v>Bộ chằng lệch đơn cho trụ 12m: CL12-B</v>
      </c>
      <c r="G129" s="1211"/>
      <c r="H129" s="2988" t="str">
        <f t="shared" si="3"/>
        <v>CL12-B</v>
      </c>
      <c r="J129" s="2988" t="e">
        <f>HLOOKUP(D129,pp3p1m!$9:$11,2,0)</f>
        <v>#N/A</v>
      </c>
    </row>
    <row r="130" spans="2:10">
      <c r="B130" s="1211"/>
      <c r="C130" s="1211" t="s">
        <v>665</v>
      </c>
      <c r="D130" t="s">
        <v>665</v>
      </c>
      <c r="F130" s="1324" t="str">
        <f>IF(LEN(C130)&gt;0,VLOOKUP(C130,DG!A:C,3,0),"")</f>
        <v>Bộ chằng xuống kép cho trụ 12m: CXX12-B</v>
      </c>
      <c r="G130" s="1211"/>
      <c r="H130" s="2988" t="str">
        <f t="shared" ref="H130:H161" si="4">C130</f>
        <v>CXX12-B</v>
      </c>
      <c r="J130" s="2988" t="e">
        <f>HLOOKUP(D130,pp3p1m!$9:$11,2,0)</f>
        <v>#N/A</v>
      </c>
    </row>
    <row r="131" spans="2:10">
      <c r="B131" s="1211"/>
      <c r="C131" s="1211" t="s">
        <v>666</v>
      </c>
      <c r="D131" t="s">
        <v>666</v>
      </c>
      <c r="F131" s="1324" t="str">
        <f>IF(LEN(C131)&gt;0,VLOOKUP(C131,DG!A:C,3,0),"")</f>
        <v>Bộ chằng xuống đơn cho trụ 14m: CX14-B</v>
      </c>
      <c r="G131" s="1211"/>
      <c r="H131" s="2988" t="str">
        <f t="shared" si="4"/>
        <v>CX14-B</v>
      </c>
      <c r="J131" s="2988" t="e">
        <f>HLOOKUP(D131,pp3p1m!$9:$11,2,0)</f>
        <v>#N/A</v>
      </c>
    </row>
    <row r="132" spans="2:10">
      <c r="B132" s="1211"/>
      <c r="C132" s="1211" t="s">
        <v>912</v>
      </c>
      <c r="D132" s="1211" t="s">
        <v>912</v>
      </c>
      <c r="F132" s="1324" t="str">
        <f>IF(LEN(C132)&gt;0,VLOOKUP(C132,DG!A:C,3,0),"")</f>
        <v>Bộ chằng lệch đơn cho trụ 14m: CL14-B</v>
      </c>
      <c r="G132" s="1211"/>
      <c r="H132" s="2988" t="str">
        <f t="shared" si="4"/>
        <v>CL14-B</v>
      </c>
      <c r="J132" s="2988" t="e">
        <f>HLOOKUP(D132,pp3p1m!$9:$11,2,0)</f>
        <v>#N/A</v>
      </c>
    </row>
    <row r="133" spans="2:10">
      <c r="B133" s="1211"/>
      <c r="C133" s="1211" t="s">
        <v>913</v>
      </c>
      <c r="D133" s="1211" t="s">
        <v>913</v>
      </c>
      <c r="F133" s="1324" t="str">
        <f>IF(LEN(C133)&gt;0,VLOOKUP(C133,DG!A:C,3,0),"")</f>
        <v>Bộ chằng xuống kép cho trụ 14m: CXX14-B</v>
      </c>
      <c r="G133" s="1211"/>
      <c r="H133" s="2988" t="str">
        <f t="shared" si="4"/>
        <v>CXX14-B</v>
      </c>
      <c r="J133" s="2988" t="e">
        <f>HLOOKUP(D133,pp3p1m!$9:$11,2,0)</f>
        <v>#N/A</v>
      </c>
    </row>
    <row r="134" spans="2:10">
      <c r="B134" s="1211"/>
      <c r="C134" s="1211" t="s">
        <v>4392</v>
      </c>
      <c r="D134" s="1211" t="s">
        <v>1274</v>
      </c>
      <c r="F134" s="1324" t="str">
        <f>IF(LEN(C134)&gt;0,VLOOKUP(C134,DG!A:C,3,0),"")</f>
        <v/>
      </c>
      <c r="G134" s="1211"/>
      <c r="H134" s="2988" t="str">
        <f t="shared" si="4"/>
        <v/>
      </c>
      <c r="J134" s="2988" t="e">
        <f>HLOOKUP(D134,pp3p1m!$9:$11,2,0)</f>
        <v>#N/A</v>
      </c>
    </row>
    <row r="135" spans="2:10" s="1211" customFormat="1">
      <c r="C135" s="1211" t="s">
        <v>749</v>
      </c>
      <c r="D135" s="1211" t="s">
        <v>749</v>
      </c>
      <c r="F135" s="1324" t="str">
        <f>IF(LEN(C135)&gt;0,VLOOKUP(C135,DG!A:C,3,0),"")</f>
        <v>Bộ chằng vượt đơn: CK-B</v>
      </c>
      <c r="H135" s="2988" t="str">
        <f t="shared" si="4"/>
        <v>CK-B</v>
      </c>
      <c r="J135" s="2988" t="e">
        <f>HLOOKUP(D135,pp3p1m!$9:$11,2,0)</f>
        <v>#N/A</v>
      </c>
    </row>
    <row r="136" spans="2:10">
      <c r="B136" s="1211"/>
      <c r="C136" s="1211" t="s">
        <v>748</v>
      </c>
      <c r="D136" s="1211" t="s">
        <v>748</v>
      </c>
      <c r="F136" s="1324" t="str">
        <f>IF(LEN(C136)&gt;0,VLOOKUP(C136,DG!A:C,3,0),"")</f>
        <v>Bộ chằng vượt kép: CKK-B</v>
      </c>
      <c r="G136" s="1211"/>
      <c r="H136" s="2988" t="str">
        <f t="shared" si="4"/>
        <v>CKK-B</v>
      </c>
      <c r="J136" s="2988" t="e">
        <f>HLOOKUP(D136,pp3p1m!$9:$11,2,0)</f>
        <v>#N/A</v>
      </c>
    </row>
    <row r="137" spans="2:10">
      <c r="B137" s="1211"/>
      <c r="C137" s="1211" t="s">
        <v>4392</v>
      </c>
      <c r="D137" s="1211" t="s">
        <v>3859</v>
      </c>
      <c r="F137" s="1324" t="str">
        <f>IF(LEN(C137)&gt;0,VLOOKUP(C137,DG!A:C,3,0),"")</f>
        <v/>
      </c>
      <c r="G137" s="1211"/>
      <c r="H137" s="2988" t="str">
        <f t="shared" si="4"/>
        <v/>
      </c>
      <c r="J137" s="2988" t="e">
        <f>HLOOKUP(D137,pp3p1m!$9:$11,2,0)</f>
        <v>#N/A</v>
      </c>
    </row>
    <row r="138" spans="2:10">
      <c r="B138" s="1211"/>
      <c r="C138" s="1211" t="s">
        <v>1492</v>
      </c>
      <c r="D138" s="1211" t="s">
        <v>1492</v>
      </c>
      <c r="F138" s="1324" t="str">
        <f>IF(LEN(C138)&gt;0,VLOOKUP(C138,DG!A:C,3,0),"")</f>
        <v>Bộ móng neo xòe cho chằng xuống: NXX</v>
      </c>
      <c r="G138" s="1211"/>
      <c r="H138" s="2988" t="str">
        <f t="shared" si="4"/>
        <v>NXX</v>
      </c>
      <c r="J138" s="2988" t="e">
        <f>HLOOKUP(D138,pp3p1m!$9:$11,2,0)</f>
        <v>#N/A</v>
      </c>
    </row>
    <row r="139" spans="2:10">
      <c r="B139" s="1211"/>
      <c r="C139" s="1211" t="s">
        <v>1493</v>
      </c>
      <c r="D139" s="1211" t="s">
        <v>1493</v>
      </c>
      <c r="F139" s="1324" t="str">
        <f>IF(LEN(C139)&gt;0,VLOOKUP(C139,DG!A:C,3,0),"")</f>
        <v>Bộ móng neo xòe cho chằng lệch: NXL</v>
      </c>
      <c r="G139" s="1211"/>
      <c r="H139" s="2988" t="str">
        <f t="shared" si="4"/>
        <v>NXL</v>
      </c>
      <c r="J139" s="2988" t="e">
        <f>HLOOKUP(D139,pp3p1m!$9:$11,2,0)</f>
        <v>#N/A</v>
      </c>
    </row>
    <row r="140" spans="2:10" s="2988" customFormat="1">
      <c r="C140" s="2988" t="s">
        <v>1572</v>
      </c>
      <c r="D140" s="2988" t="s">
        <v>1572</v>
      </c>
      <c r="F140" s="2995" t="str">
        <f>IF(LEN(C140)&gt;0,VLOOKUP(C140,DG!A:C,3,0),"")</f>
        <v>Bộ móng neo 1200x200 cho chằng xuống: MNX12-2</v>
      </c>
      <c r="H140" s="2988" t="str">
        <f t="shared" si="4"/>
        <v xml:space="preserve">MNX12-2 </v>
      </c>
      <c r="J140" s="2988" t="e">
        <f>HLOOKUP(D140,pp3p1m!$9:$11,2,0)</f>
        <v>#N/A</v>
      </c>
    </row>
    <row r="141" spans="2:10">
      <c r="B141" s="1211"/>
      <c r="C141" s="1211" t="s">
        <v>1091</v>
      </c>
      <c r="D141" s="1211" t="s">
        <v>1091</v>
      </c>
      <c r="F141" s="1324" t="str">
        <f>IF(LEN(C141)&gt;0,VLOOKUP(C141,DG!A:C,3,0),"")</f>
        <v>Bộ móng neo 1200x200 cho chằng lệch: MNL12-2</v>
      </c>
      <c r="G141" s="1211"/>
      <c r="H141" s="2988" t="str">
        <f t="shared" si="4"/>
        <v>MNL12-2</v>
      </c>
      <c r="J141" s="2988" t="e">
        <f>HLOOKUP(D141,pp3p1m!$9:$11,2,0)</f>
        <v>#N/A</v>
      </c>
    </row>
    <row r="142" spans="2:10">
      <c r="B142" s="1211"/>
      <c r="C142" s="1211" t="s">
        <v>2146</v>
      </c>
      <c r="D142" s="1211" t="s">
        <v>2146</v>
      </c>
      <c r="F142" s="1324" t="str">
        <f>IF(LEN(C142)&gt;0,VLOOKUP(C142,DG!A:C,3,0),"")</f>
        <v>Bộ móng neo 1200x400 cho chằng xuống: MNX12-4</v>
      </c>
      <c r="G142" s="1211"/>
      <c r="H142" s="2988" t="str">
        <f t="shared" si="4"/>
        <v xml:space="preserve">MNX12-4 </v>
      </c>
      <c r="J142" s="2988" t="e">
        <f>HLOOKUP(D142,pp3p1m!$9:$11,2,0)</f>
        <v>#N/A</v>
      </c>
    </row>
    <row r="143" spans="2:10">
      <c r="B143" s="1211"/>
      <c r="C143" s="1211" t="s">
        <v>1092</v>
      </c>
      <c r="D143" s="1211" t="s">
        <v>1092</v>
      </c>
      <c r="F143" s="1324" t="str">
        <f>IF(LEN(C143)&gt;0,VLOOKUP(C143,DG!A:C,3,0),"")</f>
        <v>Bộ móng neo 1200x400 cho chằng lệch: MNL12-4</v>
      </c>
      <c r="G143" s="1211"/>
      <c r="H143" s="2988" t="str">
        <f t="shared" si="4"/>
        <v xml:space="preserve">MNL12-4 </v>
      </c>
      <c r="J143" s="2988" t="e">
        <f>HLOOKUP(D143,pp3p1m!$9:$11,2,0)</f>
        <v>#N/A</v>
      </c>
    </row>
    <row r="144" spans="2:10">
      <c r="B144" s="1211"/>
      <c r="C144" s="1211" t="s">
        <v>2147</v>
      </c>
      <c r="D144" s="1211" t="s">
        <v>2147</v>
      </c>
      <c r="F144" s="1324" t="str">
        <f>IF(LEN(C144)&gt;0,VLOOKUP(C144,DG!A:C,3,0),"")</f>
        <v>Bộ móng neo 1500x400 cho chằng xuống: MNX15-4</v>
      </c>
      <c r="G144" s="1211"/>
      <c r="H144" s="2988" t="str">
        <f t="shared" si="4"/>
        <v xml:space="preserve">MNX15-4 </v>
      </c>
      <c r="J144" s="2988" t="e">
        <f>HLOOKUP(D144,pp3p1m!$9:$11,2,0)</f>
        <v>#N/A</v>
      </c>
    </row>
    <row r="145" spans="2:10">
      <c r="B145" s="1211"/>
      <c r="C145" s="1211" t="s">
        <v>1093</v>
      </c>
      <c r="D145" s="1211" t="s">
        <v>1093</v>
      </c>
      <c r="F145" s="1324" t="str">
        <f>IF(LEN(C145)&gt;0,VLOOKUP(C145,DG!A:C,3,0),"")</f>
        <v>Bộ móng neo 1500x400 cho chằng lệch: MNL15-4</v>
      </c>
      <c r="G145" s="1211"/>
      <c r="H145" s="2988" t="str">
        <f t="shared" si="4"/>
        <v>MNL15-4</v>
      </c>
      <c r="J145" s="2988" t="e">
        <f>HLOOKUP(D145,pp3p1m!$9:$11,2,0)</f>
        <v>#N/A</v>
      </c>
    </row>
    <row r="146" spans="2:10">
      <c r="B146" s="1211"/>
      <c r="C146" s="1211" t="s">
        <v>2045</v>
      </c>
      <c r="D146" s="1211" t="s">
        <v>2045</v>
      </c>
      <c r="F146" s="1324" t="str">
        <f>IF(LEN(C146)&gt;0,VLOOKUP(C146,DG!A:C,3,0),"")</f>
        <v>Bộ móng neo 1500x600 cho chằng xuống: MNX15-6</v>
      </c>
      <c r="G146" s="1211"/>
      <c r="H146" s="2988" t="str">
        <f t="shared" si="4"/>
        <v xml:space="preserve">MNX15-6 </v>
      </c>
      <c r="J146" s="2988" t="e">
        <f>HLOOKUP(D146,pp3p1m!$9:$11,2,0)</f>
        <v>#N/A</v>
      </c>
    </row>
    <row r="147" spans="2:10">
      <c r="B147" s="1211"/>
      <c r="C147" s="1211" t="s">
        <v>1094</v>
      </c>
      <c r="D147" s="1211" t="s">
        <v>1094</v>
      </c>
      <c r="F147" s="1324" t="str">
        <f>IF(LEN(C147)&gt;0,VLOOKUP(C147,DG!A:C,3,0),"")</f>
        <v>Bộ móng neo 1500x600 cho chằng lệch: MNL15-6</v>
      </c>
      <c r="G147" s="1211"/>
      <c r="H147" s="2988" t="str">
        <f t="shared" si="4"/>
        <v xml:space="preserve">MNL15-6 </v>
      </c>
      <c r="J147" s="2988" t="e">
        <f>HLOOKUP(D147,pp3p1m!$9:$11,2,0)</f>
        <v>#N/A</v>
      </c>
    </row>
    <row r="148" spans="2:10">
      <c r="B148" s="1211"/>
      <c r="C148" s="1211" t="s">
        <v>4392</v>
      </c>
      <c r="D148" s="1211" t="s">
        <v>2046</v>
      </c>
      <c r="F148" s="1324" t="str">
        <f>IF(LEN(C148)&gt;0,VLOOKUP(C148,DG!A:C,3,0),"")</f>
        <v/>
      </c>
      <c r="G148" s="1211"/>
      <c r="H148" s="2988" t="str">
        <f t="shared" si="4"/>
        <v/>
      </c>
      <c r="J148" s="2988" t="e">
        <f>HLOOKUP(D148,pp3p1m!$9:$11,2,0)</f>
        <v>#N/A</v>
      </c>
    </row>
    <row r="149" spans="2:10" s="1211" customFormat="1">
      <c r="C149" s="1211" t="s">
        <v>4392</v>
      </c>
      <c r="D149" s="1211" t="s">
        <v>892</v>
      </c>
      <c r="F149" s="1324" t="str">
        <f>IF(LEN(C149)&gt;0,VLOOKUP(C149,DG!A:C,3,0),"")</f>
        <v/>
      </c>
      <c r="H149" s="2988" t="str">
        <f t="shared" si="4"/>
        <v/>
      </c>
      <c r="J149" s="2988" t="e">
        <f>HLOOKUP(D149,pp3p1m!$9:$11,2,0)</f>
        <v>#N/A</v>
      </c>
    </row>
    <row r="150" spans="2:10" s="1211" customFormat="1">
      <c r="C150" s="1211" t="s">
        <v>2142</v>
      </c>
      <c r="D150" s="1211" t="s">
        <v>2390</v>
      </c>
      <c r="F150" s="1324" t="str">
        <f>IF(LEN(C150)&gt;0,VLOOKUP(C150,DG!A:C,3,0),"")</f>
        <v>Tiếp địa lặp lại (trụ 10.5m)</v>
      </c>
      <c r="H150" s="2988" t="str">
        <f t="shared" si="4"/>
        <v>TDTT105</v>
      </c>
      <c r="J150" s="2988" t="e">
        <f>HLOOKUP(D150,pp3p1m!$9:$11,2,0)</f>
        <v>#N/A</v>
      </c>
    </row>
    <row r="151" spans="2:10" s="1211" customFormat="1">
      <c r="C151" s="1211" t="s">
        <v>547</v>
      </c>
      <c r="D151" s="1211" t="s">
        <v>2396</v>
      </c>
      <c r="F151" s="1324" t="str">
        <f>IF(LEN(C151)&gt;0,VLOOKUP(C151,DG!A:C,3,0),"")</f>
        <v>Tiếp địa mái tole</v>
      </c>
      <c r="H151" s="2988" t="str">
        <f t="shared" si="4"/>
        <v>TDMT</v>
      </c>
      <c r="J151" s="2988" t="e">
        <f>HLOOKUP(D151,pp3p1m!$9:$11,2,0)</f>
        <v>#N/A</v>
      </c>
    </row>
    <row r="152" spans="2:10" s="1211" customFormat="1">
      <c r="C152" s="1211" t="s">
        <v>1054</v>
      </c>
      <c r="D152" s="1211" t="s">
        <v>2397</v>
      </c>
      <c r="F152" s="1324" t="str">
        <f>IF(LEN(C152)&gt;0,VLOOKUP(C152,DG!A:C,3,0),"")</f>
        <v>Tiếp địa trụ đo đếm</v>
      </c>
      <c r="H152" s="2988" t="str">
        <f t="shared" si="4"/>
        <v>TDDD</v>
      </c>
      <c r="J152" s="2988" t="e">
        <f>HLOOKUP(D152,pp3p1m!$9:$11,2,0)</f>
        <v>#N/A</v>
      </c>
    </row>
    <row r="153" spans="2:10" s="1211" customFormat="1">
      <c r="C153" s="1211" t="s">
        <v>1638</v>
      </c>
      <c r="D153" s="1211" t="s">
        <v>2394</v>
      </c>
      <c r="F153" s="1324" t="str">
        <f>IF(LEN(C153)&gt;0,VLOOKUP(C153,DG!A:C,3,0),"")</f>
        <v>Tiếp địa lặp lại (trụ 14m)</v>
      </c>
      <c r="H153" s="2988" t="str">
        <f t="shared" si="4"/>
        <v>TDTT14</v>
      </c>
      <c r="J153" s="2988" t="e">
        <f>HLOOKUP(D153,pp3p1m!$9:$11,2,0)</f>
        <v>#N/A</v>
      </c>
    </row>
    <row r="154" spans="2:10" s="1211" customFormat="1">
      <c r="C154" s="1211" t="s">
        <v>1984</v>
      </c>
      <c r="D154" s="1211" t="s">
        <v>2395</v>
      </c>
      <c r="F154" s="1324" t="str">
        <f>IF(LEN(C154)&gt;0,VLOOKUP(C154,DG!A:C,3,0),"")</f>
        <v>Tiếp địa lặp lại (trụ 20m)</v>
      </c>
      <c r="H154" s="2988" t="str">
        <f t="shared" si="4"/>
        <v>TDTT20</v>
      </c>
      <c r="J154" s="2988" t="e">
        <f>HLOOKUP(D154,pp3p1m!$9:$11,2,0)</f>
        <v>#N/A</v>
      </c>
    </row>
    <row r="155" spans="2:10" s="1211" customFormat="1">
      <c r="C155" s="1211" t="s">
        <v>2291</v>
      </c>
      <c r="D155" s="1211" t="s">
        <v>2291</v>
      </c>
      <c r="F155" s="1324" t="str">
        <f>IF(LEN(C155)&gt;0,VLOOKUP(C155,DG!A:C,3,0),"")</f>
        <v>Bộ xà đơn L75x75x8 dài 2m:  X-20Đ</v>
      </c>
      <c r="H155" s="2988" t="str">
        <f t="shared" si="4"/>
        <v>X-20Đ</v>
      </c>
      <c r="J155" s="2988" t="e">
        <f>HLOOKUP(D155,pp3p1m!$9:$11,2,0)</f>
        <v>#N/A</v>
      </c>
    </row>
    <row r="156" spans="2:10" s="1211" customFormat="1">
      <c r="C156" s="1211" t="s">
        <v>2294</v>
      </c>
      <c r="D156" s="1211" t="s">
        <v>2294</v>
      </c>
      <c r="F156" s="1324" t="str">
        <f>IF(LEN(C156)&gt;0,VLOOKUP(C156,DG!A:C,3,0),"")</f>
        <v>Bộ xà đơn L75x75x8 dài 2.2m: X-22Đ - C810</v>
      </c>
      <c r="H156" s="2988" t="str">
        <f t="shared" si="4"/>
        <v>X-22Đ</v>
      </c>
      <c r="J156" s="2988" t="e">
        <f>HLOOKUP(D156,pp3p1m!$9:$11,2,0)</f>
        <v>#N/A</v>
      </c>
    </row>
    <row r="157" spans="2:10" s="1211" customFormat="1">
      <c r="C157" s="1211" t="s">
        <v>4808</v>
      </c>
      <c r="D157" s="1211" t="s">
        <v>4808</v>
      </c>
      <c r="F157" s="1324" t="str">
        <f>IF(LEN(C157)&gt;0,VLOOKUP(C157,DG!A:C,3,0),"")</f>
        <v>Bộ xà kép L75x75x8 dài 2.2m: X-22K-Đ-C920 lắp trụ đơn</v>
      </c>
      <c r="H157" s="2988" t="str">
        <f t="shared" si="4"/>
        <v>X-22K-Đ-C920</v>
      </c>
      <c r="J157" s="2988" t="e">
        <f>HLOOKUP(D157,pp3p1m!$9:$11,2,0)</f>
        <v>#N/A</v>
      </c>
    </row>
    <row r="158" spans="2:10" s="1211" customFormat="1">
      <c r="C158" s="1211" t="s">
        <v>4809</v>
      </c>
      <c r="D158" s="1211" t="s">
        <v>4809</v>
      </c>
      <c r="F158" s="1324" t="str">
        <f>IF(LEN(C158)&gt;0,VLOOKUP(C158,DG!A:C,3,0),"")</f>
        <v>Bộ xà kép L75x75x8 dài 2.2m: X-22K-Đ-C920 lắp trụ ghép</v>
      </c>
      <c r="H158" s="2988" t="str">
        <f t="shared" si="4"/>
        <v>X-22K-K-C920</v>
      </c>
      <c r="J158" s="2988" t="e">
        <f>HLOOKUP(D158,pp3p1m!$9:$11,2,0)</f>
        <v>#N/A</v>
      </c>
    </row>
    <row r="159" spans="2:10" s="1211" customFormat="1">
      <c r="C159" s="1211" t="s">
        <v>1291</v>
      </c>
      <c r="D159" s="1211" t="s">
        <v>1291</v>
      </c>
      <c r="F159" s="1324" t="str">
        <f>IF(LEN(C159)&gt;0,VLOOKUP(C159,DG!A:C,3,0),"")</f>
        <v>Bộ xà kép L75x75x8 dài 1,66m:  X-1,66K</v>
      </c>
      <c r="H159" s="2988" t="str">
        <f t="shared" si="4"/>
        <v>X-1,66K</v>
      </c>
      <c r="J159" s="2988" t="e">
        <f>HLOOKUP(D159,pp3p1m!$9:$11,2,0)</f>
        <v>#N/A</v>
      </c>
    </row>
    <row r="160" spans="2:10" s="1211" customFormat="1">
      <c r="C160" s="1211" t="s">
        <v>2309</v>
      </c>
      <c r="D160" s="1211" t="s">
        <v>2309</v>
      </c>
      <c r="F160" s="1324" t="str">
        <f>IF(LEN(C160)&gt;0,VLOOKUP(C160,DG!A:C,3,0),"")</f>
        <v>Bộ xà đơn L75x75x8 dài 1,66m:  X-1,66Đ</v>
      </c>
      <c r="H160" s="2988" t="str">
        <f t="shared" si="4"/>
        <v>X-1,66Đ</v>
      </c>
      <c r="J160" s="2988" t="e">
        <f>HLOOKUP(D160,pp3p1m!$9:$11,2,0)</f>
        <v>#N/A</v>
      </c>
    </row>
    <row r="161" spans="2:10" s="1211" customFormat="1">
      <c r="C161" s="1211" t="s">
        <v>2296</v>
      </c>
      <c r="D161" s="1211" t="s">
        <v>2296</v>
      </c>
      <c r="F161" s="1324" t="str">
        <f>IF(LEN(C161)&gt;0,VLOOKUP(C161,DG!A:C,3,0),"")</f>
        <v xml:space="preserve">Bộ xà đơn L75x75x8 dài 2.4m: X-24Đ </v>
      </c>
      <c r="H161" s="2988" t="str">
        <f t="shared" si="4"/>
        <v>X-24Đ</v>
      </c>
      <c r="J161" s="2988" t="e">
        <f>HLOOKUP(D161,pp3p1m!$9:$11,2,0)</f>
        <v>#N/A</v>
      </c>
    </row>
    <row r="162" spans="2:10" s="1211" customFormat="1">
      <c r="C162" s="1211" t="s">
        <v>910</v>
      </c>
      <c r="D162" s="1211" t="s">
        <v>910</v>
      </c>
      <c r="F162" s="1324" t="str">
        <f>IF(LEN(C162)&gt;0,VLOOKUP(C162,DG!A:C,3,0),"")</f>
        <v xml:space="preserve">Bộ xà kép L75x75x8 dài 2.4m: X-24K </v>
      </c>
      <c r="H162" s="2988" t="str">
        <f t="shared" ref="H162:H193" si="5">C162</f>
        <v>X-24K</v>
      </c>
      <c r="J162" s="2988" t="e">
        <f>HLOOKUP(D162,pp3p1m!$9:$11,2,0)</f>
        <v>#N/A</v>
      </c>
    </row>
    <row r="163" spans="2:10">
      <c r="B163" s="1211"/>
      <c r="C163" s="1211" t="s">
        <v>4392</v>
      </c>
      <c r="D163" s="1211" t="s">
        <v>894</v>
      </c>
      <c r="F163" s="1324" t="str">
        <f>IF(LEN(C163)&gt;0,VLOOKUP(C163,DG!A:C,3,0),"")</f>
        <v/>
      </c>
      <c r="G163" s="1211"/>
      <c r="H163" s="2988" t="str">
        <f t="shared" si="5"/>
        <v/>
      </c>
      <c r="J163" s="2988" t="e">
        <f>HLOOKUP(D163,pp3p1m!$9:$11,2,0)</f>
        <v>#N/A</v>
      </c>
    </row>
    <row r="164" spans="2:10">
      <c r="B164" s="1211"/>
      <c r="C164" s="1211" t="s">
        <v>6486</v>
      </c>
      <c r="D164" s="1211" t="s">
        <v>6493</v>
      </c>
      <c r="F164" s="1324" t="str">
        <f>IF(LEN(C164)&gt;0,VLOOKUP(C164,DG!A:C,3,0),"")</f>
        <v>Dây buộc cổ sứ cỡ dây 185mm2</v>
      </c>
      <c r="G164" s="1211"/>
      <c r="H164" s="2988" t="str">
        <f t="shared" si="5"/>
        <v>ssf-185</v>
      </c>
      <c r="J164" s="2988" t="e">
        <f>HLOOKUP(D164,pp3p1m!$9:$11,2,0)</f>
        <v>#N/A</v>
      </c>
    </row>
    <row r="165" spans="2:10">
      <c r="B165" s="1211"/>
      <c r="C165" s="1211" t="s">
        <v>4392</v>
      </c>
      <c r="D165" s="1211" t="s">
        <v>3882</v>
      </c>
      <c r="F165" s="1324" t="str">
        <f>IF(LEN(C165)&gt;0,VLOOKUP(C165,DG!A:C,3,0),"")</f>
        <v/>
      </c>
      <c r="G165" s="1211"/>
      <c r="H165" s="2988" t="str">
        <f t="shared" si="5"/>
        <v/>
      </c>
      <c r="J165" s="2988" t="e">
        <f>HLOOKUP(D165,pp3p1m!$9:$11,2,0)</f>
        <v>#N/A</v>
      </c>
    </row>
    <row r="166" spans="2:10">
      <c r="B166" s="1211"/>
      <c r="C166" s="1211" t="s">
        <v>4392</v>
      </c>
      <c r="D166" s="1211" t="s">
        <v>4073</v>
      </c>
      <c r="F166" s="1324" t="str">
        <f>IF(LEN(C166)&gt;0,VLOOKUP(C166,DG!A:C,3,0),"")</f>
        <v/>
      </c>
      <c r="G166" s="1211"/>
      <c r="H166" s="2988" t="str">
        <f t="shared" si="5"/>
        <v/>
      </c>
      <c r="J166" s="2988" t="e">
        <f>HLOOKUP(D166,pp3p1m!$9:$11,2,0)</f>
        <v>#N/A</v>
      </c>
    </row>
    <row r="167" spans="2:10">
      <c r="B167" s="1211"/>
      <c r="C167" s="1211" t="s">
        <v>4392</v>
      </c>
      <c r="D167" s="1211" t="s">
        <v>3580</v>
      </c>
      <c r="F167" s="1324" t="str">
        <f>IF(LEN(C167)&gt;0,VLOOKUP(C167,DG!A:C,3,0),"")</f>
        <v/>
      </c>
      <c r="G167" s="1211"/>
      <c r="H167" s="2988" t="str">
        <f t="shared" si="5"/>
        <v/>
      </c>
      <c r="J167" s="2988" t="e">
        <f>HLOOKUP(D167,pp3p1m!$9:$11,2,0)</f>
        <v>#N/A</v>
      </c>
    </row>
    <row r="168" spans="2:10">
      <c r="B168" s="1211"/>
      <c r="C168" s="1211" t="s">
        <v>4392</v>
      </c>
      <c r="D168" s="1211" t="s">
        <v>4074</v>
      </c>
      <c r="F168" s="1324" t="str">
        <f>IF(LEN(C168)&gt;0,VLOOKUP(C168,DG!A:C,3,0),"")</f>
        <v/>
      </c>
      <c r="G168" s="1211"/>
      <c r="H168" s="2988" t="str">
        <f t="shared" si="5"/>
        <v/>
      </c>
      <c r="J168" s="2988" t="e">
        <f>HLOOKUP(D168,pp3p1m!$9:$11,2,0)</f>
        <v>#N/A</v>
      </c>
    </row>
    <row r="169" spans="2:10">
      <c r="B169" s="1211"/>
      <c r="C169" s="1211" t="s">
        <v>4392</v>
      </c>
      <c r="D169" s="1211" t="s">
        <v>3786</v>
      </c>
      <c r="F169" s="1324" t="str">
        <f>IF(LEN(C169)&gt;0,VLOOKUP(C169,DG!A:C,3,0),"")</f>
        <v/>
      </c>
      <c r="G169" s="1211"/>
      <c r="H169" s="2988" t="str">
        <f t="shared" si="5"/>
        <v/>
      </c>
      <c r="J169" s="2988" t="e">
        <f>HLOOKUP(D169,pp3p1m!$9:$11,2,0)</f>
        <v>#N/A</v>
      </c>
    </row>
    <row r="170" spans="2:10">
      <c r="B170" s="1211"/>
      <c r="C170" s="1211" t="s">
        <v>1621</v>
      </c>
      <c r="D170" s="1211" t="s">
        <v>3787</v>
      </c>
      <c r="F170" s="1324" t="str">
        <f>IF(LEN(C170)&gt;0,VLOOKUP(C170,DG!A:C,3,0),"")</f>
        <v>Bộ Uclevis néo dây trung hòa vào trụ: Nth-U</v>
      </c>
      <c r="G170" s="1211"/>
      <c r="H170" s="2988" t="str">
        <f t="shared" si="5"/>
        <v>Nth-U</v>
      </c>
      <c r="J170" s="2988" t="e">
        <f>HLOOKUP(D170,pp3p1m!$9:$11,2,0)</f>
        <v>#N/A</v>
      </c>
    </row>
    <row r="171" spans="2:10">
      <c r="B171" s="1211"/>
      <c r="C171" s="1211" t="s">
        <v>6520</v>
      </c>
      <c r="D171" s="1211" t="s">
        <v>6477</v>
      </c>
      <c r="F171" s="1324" t="str">
        <f>IF(LEN(C171)&gt;0,VLOOKUP(C171,DG!A:C,3,0),"")</f>
        <v>Chuỗi sứ treo Polymer kép 25kV lắp vào xà</v>
      </c>
      <c r="G171" s="1211"/>
      <c r="H171" s="2988" t="str">
        <f t="shared" si="5"/>
        <v>CĐT ply-XK</v>
      </c>
      <c r="J171" s="2988" t="e">
        <f>HLOOKUP(D171,pp3p1m!$9:$11,2,0)</f>
        <v>#N/A</v>
      </c>
    </row>
    <row r="172" spans="2:10">
      <c r="B172" s="1211"/>
      <c r="C172" s="1211" t="s">
        <v>4392</v>
      </c>
      <c r="D172" s="1211" t="s">
        <v>4530</v>
      </c>
      <c r="F172" s="1324" t="str">
        <f>IF(LEN(C172)&gt;0,VLOOKUP(C172,DG!A:C,3,0),"")</f>
        <v/>
      </c>
      <c r="G172" s="1211"/>
      <c r="H172" s="2988" t="str">
        <f t="shared" si="5"/>
        <v/>
      </c>
      <c r="J172" s="2988" t="e">
        <f>HLOOKUP(D172,pp3p1m!$9:$11,2,0)</f>
        <v>#N/A</v>
      </c>
    </row>
    <row r="173" spans="2:10">
      <c r="B173" s="1211"/>
      <c r="C173" s="1211" t="s">
        <v>4392</v>
      </c>
      <c r="D173" s="1211" t="s">
        <v>3883</v>
      </c>
      <c r="F173" s="1324" t="str">
        <f>IF(LEN(C173)&gt;0,VLOOKUP(C173,DG!A:C,3,0),"")</f>
        <v/>
      </c>
      <c r="G173" s="1211"/>
      <c r="H173" s="2988" t="str">
        <f t="shared" si="5"/>
        <v/>
      </c>
      <c r="J173" s="2988" t="e">
        <f>HLOOKUP(D173,pp3p1m!$9:$11,2,0)</f>
        <v>#N/A</v>
      </c>
    </row>
    <row r="174" spans="2:10">
      <c r="B174" s="1211"/>
      <c r="C174" s="1211" t="s">
        <v>6495</v>
      </c>
      <c r="D174" s="1211" t="s">
        <v>6501</v>
      </c>
      <c r="F174" s="1324" t="str">
        <f>IF(LEN(C174)&gt;0,VLOOKUP(C174,DG!A:C,3,0),"")</f>
        <v>Dây buộc đầu sứ cỡ dây 50mm2</v>
      </c>
      <c r="G174" s="1211"/>
      <c r="H174" s="2988" t="str">
        <f t="shared" si="5"/>
        <v>ttf-50</v>
      </c>
      <c r="J174" s="2988" t="e">
        <f>HLOOKUP(D174,pp3p1m!$9:$11,2,0)</f>
        <v>#N/A</v>
      </c>
    </row>
    <row r="175" spans="2:10">
      <c r="B175" s="1211"/>
      <c r="C175" s="1211" t="s">
        <v>6496</v>
      </c>
      <c r="D175" s="1211" t="s">
        <v>6502</v>
      </c>
      <c r="F175" s="1324" t="str">
        <f>IF(LEN(C175)&gt;0,VLOOKUP(C175,DG!A:C,3,0),"")</f>
        <v>Dây buộc đầu sứ cỡ dây 70mm2</v>
      </c>
      <c r="G175" s="1211"/>
      <c r="H175" s="2988" t="str">
        <f t="shared" si="5"/>
        <v>ttf-70</v>
      </c>
      <c r="J175" s="2988" t="e">
        <f>HLOOKUP(D175,pp3p1m!$9:$11,2,0)</f>
        <v>#N/A</v>
      </c>
    </row>
    <row r="176" spans="2:10">
      <c r="B176" s="1211"/>
      <c r="C176" s="1211" t="s">
        <v>6498</v>
      </c>
      <c r="D176" s="1211" t="s">
        <v>6504</v>
      </c>
      <c r="F176" s="1324" t="str">
        <f>IF(LEN(C176)&gt;0,VLOOKUP(C176,DG!A:C,3,0),"")</f>
        <v>Dây buộc đầu sứ cỡ dây 120mm2</v>
      </c>
      <c r="G176" s="1211"/>
      <c r="H176" s="2988" t="str">
        <f t="shared" si="5"/>
        <v>ttf-120</v>
      </c>
      <c r="J176" s="2988" t="e">
        <f>HLOOKUP(D176,pp3p1m!$9:$11,2,0)</f>
        <v>#N/A</v>
      </c>
    </row>
    <row r="177" spans="2:10">
      <c r="B177" s="1211"/>
      <c r="C177" s="1211" t="s">
        <v>6507</v>
      </c>
      <c r="D177" s="1211" t="s">
        <v>6508</v>
      </c>
      <c r="F177" s="1324" t="e">
        <f>IF(LEN(C177)&gt;0,VLOOKUP(C177,DG!A:C,3,0),"")</f>
        <v>#N/A</v>
      </c>
      <c r="G177" s="1211"/>
      <c r="H177" s="2988" t="str">
        <f t="shared" si="5"/>
        <v>ttf-240</v>
      </c>
      <c r="J177" s="2988" t="e">
        <f>HLOOKUP(D177,pp3p1m!$9:$11,2,0)</f>
        <v>#N/A</v>
      </c>
    </row>
    <row r="178" spans="2:10">
      <c r="B178" s="1211"/>
      <c r="C178" s="1211" t="s">
        <v>6481</v>
      </c>
      <c r="D178" s="1211" t="s">
        <v>6488</v>
      </c>
      <c r="F178" s="1324" t="str">
        <f>IF(LEN(C178)&gt;0,VLOOKUP(C178,DG!A:C,3,0),"")</f>
        <v>Dây buộc cổ sứ cỡ dây 50mm2</v>
      </c>
      <c r="G178" s="1211"/>
      <c r="H178" s="2988" t="str">
        <f t="shared" si="5"/>
        <v>ssf-50</v>
      </c>
      <c r="J178" s="2988" t="e">
        <f>HLOOKUP(D178,pp3p1m!$9:$11,2,0)</f>
        <v>#N/A</v>
      </c>
    </row>
    <row r="179" spans="2:10">
      <c r="B179" s="1211"/>
      <c r="C179" s="1211" t="s">
        <v>6482</v>
      </c>
      <c r="D179" s="1211" t="s">
        <v>6489</v>
      </c>
      <c r="F179" s="1324" t="str">
        <f>IF(LEN(C179)&gt;0,VLOOKUP(C179,DG!A:C,3,0),"")</f>
        <v>Dây buộc cổ sứ cỡ dây 70mm2</v>
      </c>
      <c r="G179" s="1211"/>
      <c r="H179" s="2988" t="str">
        <f t="shared" si="5"/>
        <v>ssf-70</v>
      </c>
      <c r="J179" s="2988" t="e">
        <f>HLOOKUP(D179,pp3p1m!$9:$11,2,0)</f>
        <v>#N/A</v>
      </c>
    </row>
    <row r="180" spans="2:10">
      <c r="B180" s="1211"/>
      <c r="C180" s="1211" t="s">
        <v>6484</v>
      </c>
      <c r="D180" s="1211" t="s">
        <v>6491</v>
      </c>
      <c r="F180" s="1324" t="str">
        <f>IF(LEN(C180)&gt;0,VLOOKUP(C180,DG!A:C,3,0),"")</f>
        <v>Dây buộc cổ sứ cỡ dây 120mm2</v>
      </c>
      <c r="G180" s="1211"/>
      <c r="H180" s="2988" t="str">
        <f t="shared" si="5"/>
        <v>ssf-120</v>
      </c>
      <c r="J180" s="2988" t="e">
        <f>HLOOKUP(D180,pp3p1m!$9:$11,2,0)</f>
        <v>#N/A</v>
      </c>
    </row>
    <row r="181" spans="2:10">
      <c r="B181" s="1211"/>
      <c r="C181" s="1211" t="s">
        <v>6485</v>
      </c>
      <c r="D181" s="1211" t="s">
        <v>6492</v>
      </c>
      <c r="F181" s="1324" t="str">
        <f>IF(LEN(C181)&gt;0,VLOOKUP(C181,DG!A:C,3,0),"")</f>
        <v>Dây buộc cổ sứ cỡ dây 150mm2</v>
      </c>
      <c r="G181" s="1211"/>
      <c r="H181" s="2988" t="str">
        <f t="shared" si="5"/>
        <v>ssf-150</v>
      </c>
      <c r="J181" s="2988" t="e">
        <f>HLOOKUP(D181,pp3p1m!$9:$11,2,0)</f>
        <v>#N/A</v>
      </c>
    </row>
    <row r="182" spans="2:10" s="2988" customFormat="1">
      <c r="C182" s="2988" t="s">
        <v>6487</v>
      </c>
      <c r="D182" s="2988" t="s">
        <v>6494</v>
      </c>
      <c r="F182" s="2995" t="str">
        <f>IF(LEN(C182)&gt;0,VLOOKUP(C182,DG!A:C,3,0),"")</f>
        <v>Dây buộc cổ sứ cỡ dây 240mm2</v>
      </c>
      <c r="H182" s="2988" t="str">
        <f t="shared" si="5"/>
        <v>ssf-240</v>
      </c>
      <c r="J182" s="2988" t="e">
        <f>HLOOKUP(D182,pp3p1m!$9:$11,2,0)</f>
        <v>#N/A</v>
      </c>
    </row>
    <row r="183" spans="2:10" s="1211" customFormat="1">
      <c r="C183" s="1211" t="s">
        <v>1177</v>
      </c>
      <c r="D183" s="1211" t="s">
        <v>4081</v>
      </c>
      <c r="F183" s="1324" t="str">
        <f>IF(LEN(C183)&gt;0,VLOOKUP(C183,DG!A:C,3,0),"")</f>
        <v>Kẹp 2 rãnh cỡ dây 150mm2</v>
      </c>
      <c r="H183" s="2988" t="str">
        <f t="shared" si="5"/>
        <v>K150</v>
      </c>
      <c r="J183" s="2988" t="e">
        <f>HLOOKUP(D183,pp3p1m!$9:$11,2,0)</f>
        <v>#N/A</v>
      </c>
    </row>
    <row r="184" spans="2:10">
      <c r="B184" s="1211"/>
      <c r="C184" s="1211" t="s">
        <v>2072</v>
      </c>
      <c r="D184" s="1211" t="s">
        <v>6415</v>
      </c>
      <c r="F184" s="1324" t="str">
        <f>IF(LEN(C184)&gt;0,VLOOKUP(C184,DG!A:C,3,0),"")</f>
        <v>Kẹp 2 rãnh cỡ dây 185mm2</v>
      </c>
      <c r="G184" s="1211"/>
      <c r="H184" s="2988" t="str">
        <f t="shared" si="5"/>
        <v>K185</v>
      </c>
      <c r="J184" s="2988" t="e">
        <f>HLOOKUP(D184,pp3p1m!$9:$11,2,0)</f>
        <v>#N/A</v>
      </c>
    </row>
    <row r="185" spans="2:10">
      <c r="B185" s="1211"/>
      <c r="C185" s="1211" t="s">
        <v>2071</v>
      </c>
      <c r="D185" s="1211" t="s">
        <v>6509</v>
      </c>
      <c r="F185" s="1324" t="str">
        <f>IF(LEN(C185)&gt;0,VLOOKUP(C185,DG!A:C,3,0),"")</f>
        <v>Kẹp 2 rãnh cỡ dây 240 mm2</v>
      </c>
      <c r="G185" s="1211"/>
      <c r="H185" s="2988" t="str">
        <f t="shared" si="5"/>
        <v>K240</v>
      </c>
      <c r="J185" s="2988" t="e">
        <f>HLOOKUP(D185,pp3p1m!$9:$11,2,0)</f>
        <v>#N/A</v>
      </c>
    </row>
    <row r="186" spans="2:10">
      <c r="B186" s="1211"/>
      <c r="C186" s="1211" t="s">
        <v>4392</v>
      </c>
      <c r="D186" s="1211" t="s">
        <v>4082</v>
      </c>
      <c r="F186" s="1324" t="str">
        <f>IF(LEN(C186)&gt;0,VLOOKUP(C186,DG!A:C,3,0),"")</f>
        <v/>
      </c>
      <c r="G186" s="1211"/>
      <c r="H186" s="2988" t="str">
        <f t="shared" si="5"/>
        <v/>
      </c>
      <c r="J186" s="2988" t="e">
        <f>HLOOKUP(D186,pp3p1m!$9:$11,2,0)</f>
        <v>#N/A</v>
      </c>
    </row>
    <row r="187" spans="2:10">
      <c r="B187" s="1211"/>
      <c r="C187" s="1211" t="s">
        <v>4392</v>
      </c>
      <c r="D187" s="1211" t="s">
        <v>4083</v>
      </c>
      <c r="F187" s="1324" t="str">
        <f>IF(LEN(C187)&gt;0,VLOOKUP(C187,DG!A:C,3,0),"")</f>
        <v/>
      </c>
      <c r="G187" s="1211"/>
      <c r="H187" s="2988" t="str">
        <f t="shared" si="5"/>
        <v/>
      </c>
      <c r="J187" s="2988" t="e">
        <f>HLOOKUP(D187,pp3p1m!$9:$11,2,0)</f>
        <v>#N/A</v>
      </c>
    </row>
    <row r="188" spans="2:10">
      <c r="B188" s="1211"/>
      <c r="C188" s="1211" t="s">
        <v>4392</v>
      </c>
      <c r="D188" s="1211" t="s">
        <v>4084</v>
      </c>
      <c r="F188" s="1324" t="str">
        <f>IF(LEN(C188)&gt;0,VLOOKUP(C188,DG!A:C,3,0),"")</f>
        <v/>
      </c>
      <c r="G188" s="1211"/>
      <c r="H188" s="2988" t="str">
        <f t="shared" si="5"/>
        <v/>
      </c>
      <c r="J188" s="2988" t="e">
        <f>HLOOKUP(D188,pp3p1m!$9:$11,2,0)</f>
        <v>#N/A</v>
      </c>
    </row>
    <row r="189" spans="2:10">
      <c r="B189" s="1211"/>
      <c r="C189" s="1211" t="s">
        <v>4392</v>
      </c>
      <c r="D189" s="1211" t="s">
        <v>4595</v>
      </c>
      <c r="F189" s="1324" t="str">
        <f>IF(LEN(C189)&gt;0,VLOOKUP(C189,DG!A:C,3,0),"")</f>
        <v/>
      </c>
      <c r="G189" s="1211"/>
      <c r="H189" s="2988" t="str">
        <f t="shared" si="5"/>
        <v/>
      </c>
      <c r="J189" s="2988" t="e">
        <f>HLOOKUP(D189,pp3p1m!$9:$11,2,0)</f>
        <v>#N/A</v>
      </c>
    </row>
    <row r="190" spans="2:10">
      <c r="B190" s="1211"/>
      <c r="C190" s="1211" t="s">
        <v>4392</v>
      </c>
      <c r="D190" s="1211" t="s">
        <v>1733</v>
      </c>
      <c r="F190" s="1324" t="str">
        <f>IF(LEN(C190)&gt;0,VLOOKUP(C190,DG!A:C,3,0),"")</f>
        <v/>
      </c>
      <c r="G190" s="1211"/>
      <c r="H190" s="2988" t="str">
        <f t="shared" si="5"/>
        <v/>
      </c>
      <c r="J190" s="2988" t="e">
        <f>HLOOKUP(D190,pp3p1m!$9:$11,2,0)</f>
        <v>#N/A</v>
      </c>
    </row>
    <row r="191" spans="2:10">
      <c r="B191" s="1211"/>
      <c r="C191" s="1211" t="s">
        <v>4392</v>
      </c>
      <c r="D191" s="1211" t="s">
        <v>4085</v>
      </c>
      <c r="F191" s="1324" t="str">
        <f>IF(LEN(C191)&gt;0,VLOOKUP(C191,DG!A:C,3,0),"")</f>
        <v/>
      </c>
      <c r="G191" s="1211"/>
      <c r="H191" s="2988" t="str">
        <f t="shared" si="5"/>
        <v/>
      </c>
      <c r="J191" s="2988" t="e">
        <f>HLOOKUP(D191,pp3p1m!$9:$11,2,0)</f>
        <v>#N/A</v>
      </c>
    </row>
    <row r="192" spans="2:10">
      <c r="B192" s="1211"/>
      <c r="C192" s="1211" t="s">
        <v>4392</v>
      </c>
      <c r="D192" s="1211" t="s">
        <v>3791</v>
      </c>
      <c r="F192" s="1324" t="str">
        <f>IF(LEN(C192)&gt;0,VLOOKUP(C192,DG!A:C,3,0),"")</f>
        <v/>
      </c>
      <c r="G192" s="1211"/>
      <c r="H192" s="2988" t="str">
        <f t="shared" si="5"/>
        <v/>
      </c>
      <c r="J192" s="2988" t="e">
        <f>HLOOKUP(D192,pp3p1m!$9:$11,2,0)</f>
        <v>#N/A</v>
      </c>
    </row>
    <row r="193" spans="2:10">
      <c r="B193" s="1211"/>
      <c r="C193" s="1211" t="s">
        <v>4392</v>
      </c>
      <c r="D193" s="1211" t="s">
        <v>3793</v>
      </c>
      <c r="F193" s="1324" t="str">
        <f>IF(LEN(C193)&gt;0,VLOOKUP(C193,DG!A:C,3,0),"")</f>
        <v/>
      </c>
      <c r="G193" s="1211"/>
      <c r="H193" s="2988" t="str">
        <f t="shared" si="5"/>
        <v/>
      </c>
      <c r="J193" s="2988" t="e">
        <f>HLOOKUP(D193,pp3p1m!$9:$11,2,0)</f>
        <v>#N/A</v>
      </c>
    </row>
    <row r="194" spans="2:10">
      <c r="B194" s="1211"/>
      <c r="C194" s="1211" t="s">
        <v>4392</v>
      </c>
      <c r="D194" t="s">
        <v>3794</v>
      </c>
      <c r="F194" s="1324" t="str">
        <f>IF(LEN(C194)&gt;0,VLOOKUP(C194,DG!A:C,3,0),"")</f>
        <v/>
      </c>
      <c r="G194" s="1211"/>
      <c r="H194" s="2988" t="str">
        <f t="shared" ref="H194:H225" si="6">C194</f>
        <v/>
      </c>
      <c r="J194" s="2988" t="e">
        <f>HLOOKUP(D194,pp3p1m!$9:$11,2,0)</f>
        <v>#N/A</v>
      </c>
    </row>
    <row r="195" spans="2:10">
      <c r="B195" s="1211"/>
      <c r="C195" s="1211" t="s">
        <v>4392</v>
      </c>
      <c r="D195" s="1211" t="s">
        <v>4088</v>
      </c>
      <c r="F195" s="1324" t="str">
        <f>IF(LEN(C195)&gt;0,VLOOKUP(C195,DG!A:C,3,0),"")</f>
        <v/>
      </c>
      <c r="G195" s="1211"/>
      <c r="H195" s="2988" t="str">
        <f t="shared" si="6"/>
        <v/>
      </c>
      <c r="J195" s="2988" t="e">
        <f>HLOOKUP(D195,pp3p1m!$9:$11,2,0)</f>
        <v>#N/A</v>
      </c>
    </row>
    <row r="196" spans="2:10">
      <c r="B196" s="1211"/>
      <c r="C196" s="1211" t="s">
        <v>4392</v>
      </c>
      <c r="D196" s="1211" t="s">
        <v>4089</v>
      </c>
      <c r="F196" s="1324" t="str">
        <f>IF(LEN(C196)&gt;0,VLOOKUP(C196,DG!A:C,3,0),"")</f>
        <v/>
      </c>
      <c r="G196" s="1211"/>
      <c r="H196" s="2988" t="str">
        <f t="shared" si="6"/>
        <v/>
      </c>
      <c r="J196" s="2988" t="e">
        <f>HLOOKUP(D196,pp3p1m!$9:$11,2,0)</f>
        <v>#N/A</v>
      </c>
    </row>
    <row r="197" spans="2:10">
      <c r="B197" s="1211"/>
      <c r="C197" s="1211" t="s">
        <v>4392</v>
      </c>
      <c r="D197" s="1211" t="s">
        <v>6091</v>
      </c>
      <c r="F197" s="1324" t="str">
        <f>IF(LEN(C197)&gt;0,VLOOKUP(C197,DG!A:C,3,0),"")</f>
        <v/>
      </c>
      <c r="G197" s="1211"/>
      <c r="H197" s="2988" t="str">
        <f t="shared" si="6"/>
        <v/>
      </c>
      <c r="J197" s="2988" t="e">
        <f>HLOOKUP(D197,pp3p1m!$9:$11,2,0)</f>
        <v>#N/A</v>
      </c>
    </row>
    <row r="198" spans="2:10">
      <c r="B198" s="1211"/>
      <c r="C198" s="1211" t="s">
        <v>4392</v>
      </c>
      <c r="D198" s="1211" t="s">
        <v>3798</v>
      </c>
      <c r="F198" s="1324" t="str">
        <f>IF(LEN(C198)&gt;0,VLOOKUP(C198,DG!A:C,3,0),"")</f>
        <v/>
      </c>
      <c r="G198" s="1211"/>
      <c r="H198" s="2988" t="str">
        <f t="shared" si="6"/>
        <v/>
      </c>
      <c r="J198" s="2988" t="e">
        <f>HLOOKUP(D198,pp3p1m!$9:$11,2,0)</f>
        <v>#N/A</v>
      </c>
    </row>
    <row r="199" spans="2:10" s="1211" customFormat="1">
      <c r="C199" s="1211" t="s">
        <v>4392</v>
      </c>
      <c r="D199" s="1211" t="s">
        <v>3799</v>
      </c>
      <c r="F199" s="1324" t="str">
        <f>IF(LEN(C199)&gt;0,VLOOKUP(C199,DG!A:C,3,0),"")</f>
        <v/>
      </c>
      <c r="H199" s="2988" t="str">
        <f t="shared" si="6"/>
        <v/>
      </c>
      <c r="J199" s="2988" t="e">
        <f>HLOOKUP(D199,pp3p1m!$9:$11,2,0)</f>
        <v>#N/A</v>
      </c>
    </row>
    <row r="200" spans="2:10">
      <c r="B200" s="1211"/>
      <c r="C200" s="1211" t="s">
        <v>4392</v>
      </c>
      <c r="D200" s="1211" t="s">
        <v>3800</v>
      </c>
      <c r="F200" s="1324" t="str">
        <f>IF(LEN(C200)&gt;0,VLOOKUP(C200,DG!A:C,3,0),"")</f>
        <v/>
      </c>
      <c r="G200" s="1211"/>
      <c r="H200" s="2988" t="str">
        <f t="shared" si="6"/>
        <v/>
      </c>
      <c r="J200" s="2988" t="e">
        <f>HLOOKUP(D200,pp3p1m!$9:$11,2,0)</f>
        <v>#N/A</v>
      </c>
    </row>
    <row r="201" spans="2:10">
      <c r="B201" s="1211"/>
      <c r="C201" s="1211" t="s">
        <v>4392</v>
      </c>
      <c r="D201" s="1211" t="s">
        <v>3801</v>
      </c>
      <c r="F201" s="1324" t="str">
        <f>IF(LEN(C201)&gt;0,VLOOKUP(C201,DG!A:C,3,0),"")</f>
        <v/>
      </c>
      <c r="G201" s="1211"/>
      <c r="H201" s="2988" t="str">
        <f t="shared" si="6"/>
        <v/>
      </c>
      <c r="J201" s="2988" t="e">
        <f>HLOOKUP(D201,pp3p1m!$9:$11,2,0)</f>
        <v>#N/A</v>
      </c>
    </row>
    <row r="202" spans="2:10">
      <c r="B202" s="1211"/>
      <c r="C202" s="1211" t="s">
        <v>4392</v>
      </c>
      <c r="D202" s="1211" t="s">
        <v>3802</v>
      </c>
      <c r="F202" s="1324" t="str">
        <f>IF(LEN(C202)&gt;0,VLOOKUP(C202,DG!A:C,3,0),"")</f>
        <v/>
      </c>
      <c r="G202" s="1211"/>
      <c r="H202" s="2988" t="str">
        <f t="shared" si="6"/>
        <v/>
      </c>
      <c r="J202" s="2988" t="e">
        <f>HLOOKUP(D202,pp3p1m!$9:$11,2,0)</f>
        <v>#N/A</v>
      </c>
    </row>
    <row r="203" spans="2:10">
      <c r="B203" s="1211"/>
      <c r="C203" s="1211" t="s">
        <v>4392</v>
      </c>
      <c r="D203" s="1211" t="s">
        <v>4627</v>
      </c>
      <c r="F203" s="1324" t="str">
        <f>IF(LEN(C203)&gt;0,VLOOKUP(C203,DG!A:C,3,0),"")</f>
        <v/>
      </c>
      <c r="G203" s="1211"/>
      <c r="H203" s="2988" t="str">
        <f t="shared" si="6"/>
        <v/>
      </c>
      <c r="J203" s="2988" t="e">
        <f>HLOOKUP(D203,pp3p1m!$9:$11,2,0)</f>
        <v>#N/A</v>
      </c>
    </row>
    <row r="204" spans="2:10">
      <c r="B204" s="1211"/>
      <c r="C204" s="1211" t="s">
        <v>4392</v>
      </c>
      <c r="D204" s="1211" t="s">
        <v>4628</v>
      </c>
      <c r="F204" s="1324" t="str">
        <f>IF(LEN(C204)&gt;0,VLOOKUP(C204,DG!A:C,3,0),"")</f>
        <v/>
      </c>
      <c r="G204" s="1211"/>
      <c r="H204" s="2988" t="str">
        <f t="shared" si="6"/>
        <v/>
      </c>
      <c r="J204" s="2988" t="e">
        <f>HLOOKUP(D204,pp3p1m!$9:$11,2,0)</f>
        <v>#N/A</v>
      </c>
    </row>
    <row r="205" spans="2:10" s="2988" customFormat="1">
      <c r="C205" s="2988" t="s">
        <v>4392</v>
      </c>
      <c r="D205" s="2988" t="s">
        <v>4756</v>
      </c>
      <c r="F205" s="2995" t="str">
        <f>IF(LEN(C205)&gt;0,VLOOKUP(C205,DG!A:C,3,0),"")</f>
        <v/>
      </c>
      <c r="H205" s="2988" t="str">
        <f t="shared" si="6"/>
        <v/>
      </c>
      <c r="J205" s="2988" t="e">
        <f>HLOOKUP(D205,pp3p1m!$9:$11,2,0)</f>
        <v>#N/A</v>
      </c>
    </row>
    <row r="206" spans="2:10" s="2988" customFormat="1">
      <c r="C206" s="2988" t="s">
        <v>4392</v>
      </c>
      <c r="D206" s="2988" t="s">
        <v>4757</v>
      </c>
      <c r="F206" s="2995" t="str">
        <f>IF(LEN(C206)&gt;0,VLOOKUP(C206,DG!A:C,3,0),"")</f>
        <v/>
      </c>
      <c r="H206" s="2988" t="str">
        <f t="shared" si="6"/>
        <v/>
      </c>
      <c r="J206" s="2988" t="e">
        <f>HLOOKUP(D206,pp3p1m!$9:$11,2,0)</f>
        <v>#N/A</v>
      </c>
    </row>
    <row r="207" spans="2:10" s="2988" customFormat="1">
      <c r="C207" s="2988" t="s">
        <v>4392</v>
      </c>
      <c r="D207" s="2988" t="s">
        <v>1730</v>
      </c>
      <c r="F207" s="2995" t="str">
        <f>IF(LEN(C207)&gt;0,VLOOKUP(C207,DG!A:C,3,0),"")</f>
        <v/>
      </c>
      <c r="H207" s="2988" t="str">
        <f t="shared" si="6"/>
        <v/>
      </c>
      <c r="J207" s="2988" t="e">
        <f>HLOOKUP(D207,pp3p1m!$9:$11,2,0)</f>
        <v>#N/A</v>
      </c>
    </row>
    <row r="208" spans="2:10">
      <c r="B208" s="1211"/>
      <c r="C208" s="1211" t="s">
        <v>4392</v>
      </c>
      <c r="D208" s="1211" t="s">
        <v>1375</v>
      </c>
      <c r="F208" s="1324" t="str">
        <f>IF(LEN(C208)&gt;0,VLOOKUP(C208,DG!A:C,3,0),"")</f>
        <v/>
      </c>
      <c r="G208" s="1211"/>
      <c r="H208" s="2988" t="str">
        <f t="shared" si="6"/>
        <v/>
      </c>
      <c r="J208" s="2988" t="e">
        <f>HLOOKUP(D208,pp3p1m!$9:$11,2,0)</f>
        <v>#N/A</v>
      </c>
    </row>
    <row r="209" spans="2:10">
      <c r="B209" s="1211"/>
      <c r="C209" s="1211" t="s">
        <v>4392</v>
      </c>
      <c r="D209" s="1211" t="s">
        <v>675</v>
      </c>
      <c r="F209" s="1324" t="str">
        <f>IF(LEN(C209)&gt;0,VLOOKUP(C209,DG!A:C,3,0),"")</f>
        <v/>
      </c>
      <c r="G209" s="1211"/>
      <c r="H209" s="2988" t="str">
        <f t="shared" si="6"/>
        <v/>
      </c>
      <c r="J209" s="2988" t="e">
        <f>HLOOKUP(D209,pp3p1m!$9:$11,2,0)</f>
        <v>#N/A</v>
      </c>
    </row>
    <row r="210" spans="2:10">
      <c r="B210" s="1211"/>
      <c r="C210" s="1211"/>
      <c r="D210" s="1211" t="s">
        <v>1921</v>
      </c>
      <c r="F210" s="1324" t="str">
        <f>IF(LEN(C210)&gt;0,VLOOKUP(C210,DG!A:C,3,0),"")</f>
        <v/>
      </c>
      <c r="G210" s="1211"/>
      <c r="H210" s="2988">
        <f t="shared" si="6"/>
        <v>0</v>
      </c>
      <c r="J210" s="2988" t="e">
        <f>HLOOKUP(D210,pp3p1m!$9:$11,2,0)</f>
        <v>#N/A</v>
      </c>
    </row>
    <row r="211" spans="2:10">
      <c r="B211" s="1211"/>
      <c r="C211" s="1211"/>
      <c r="D211" s="1211" t="s">
        <v>394</v>
      </c>
      <c r="F211" s="1324" t="str">
        <f>IF(LEN(C211)&gt;0,VLOOKUP(C211,DG!A:C,3,0),"")</f>
        <v/>
      </c>
      <c r="G211" s="1211"/>
      <c r="H211" s="2988">
        <f t="shared" si="6"/>
        <v>0</v>
      </c>
      <c r="J211" s="2988" t="e">
        <f>HLOOKUP(D211,pp3p1m!$9:$11,2,0)</f>
        <v>#N/A</v>
      </c>
    </row>
    <row r="212" spans="2:10">
      <c r="B212" s="1211"/>
      <c r="C212" s="1211"/>
      <c r="D212" s="1211" t="s">
        <v>1194</v>
      </c>
      <c r="F212" s="1324" t="str">
        <f>IF(LEN(C212)&gt;0,VLOOKUP(C212,DG!A:C,3,0),"")</f>
        <v/>
      </c>
      <c r="G212" s="1211"/>
      <c r="H212" s="2988">
        <f t="shared" si="6"/>
        <v>0</v>
      </c>
      <c r="J212" s="2988" t="e">
        <f>HLOOKUP(D212,pp3p1m!$9:$11,2,0)</f>
        <v>#N/A</v>
      </c>
    </row>
    <row r="213" spans="2:10">
      <c r="B213" s="1211"/>
      <c r="C213" s="1211" t="s">
        <v>4392</v>
      </c>
      <c r="D213" s="1211" t="s">
        <v>2546</v>
      </c>
      <c r="F213" s="1324" t="str">
        <f>IF(LEN(C213)&gt;0,VLOOKUP(C213,DG!A:C,3,0),"")</f>
        <v/>
      </c>
      <c r="G213" s="1211"/>
      <c r="H213" s="2988" t="str">
        <f t="shared" si="6"/>
        <v/>
      </c>
      <c r="J213" s="2988" t="e">
        <f>HLOOKUP(D213,pp3p1m!$9:$11,2,0)</f>
        <v>#N/A</v>
      </c>
    </row>
    <row r="214" spans="2:10">
      <c r="B214" s="1211"/>
      <c r="C214" s="1211" t="s">
        <v>4392</v>
      </c>
      <c r="D214" s="1211" t="s">
        <v>4090</v>
      </c>
      <c r="F214" s="1324" t="str">
        <f>IF(LEN(C214)&gt;0,VLOOKUP(C214,DG!A:C,3,0),"")</f>
        <v/>
      </c>
      <c r="G214" s="1211"/>
      <c r="H214" s="2988" t="str">
        <f t="shared" si="6"/>
        <v/>
      </c>
      <c r="J214" s="2988" t="e">
        <f>HLOOKUP(D214,pp3p1m!$9:$11,2,0)</f>
        <v>#N/A</v>
      </c>
    </row>
    <row r="215" spans="2:10">
      <c r="B215" s="1211"/>
      <c r="C215" s="1211" t="s">
        <v>4392</v>
      </c>
      <c r="D215" s="1211" t="s">
        <v>4091</v>
      </c>
      <c r="F215" s="1324" t="str">
        <f>IF(LEN(C215)&gt;0,VLOOKUP(C215,DG!A:C,3,0),"")</f>
        <v/>
      </c>
      <c r="G215" s="1211"/>
      <c r="H215" s="2988" t="str">
        <f t="shared" si="6"/>
        <v/>
      </c>
      <c r="J215" s="2988" t="e">
        <f>HLOOKUP(D215,pp3p1m!$9:$11,2,0)</f>
        <v>#N/A</v>
      </c>
    </row>
    <row r="216" spans="2:10">
      <c r="B216" s="1211"/>
      <c r="C216" s="1211" t="s">
        <v>4392</v>
      </c>
      <c r="D216" s="1211" t="s">
        <v>4092</v>
      </c>
      <c r="F216" s="1324" t="str">
        <f>IF(LEN(C216)&gt;0,VLOOKUP(C216,DG!A:C,3,0),"")</f>
        <v/>
      </c>
      <c r="G216" s="1211"/>
      <c r="H216" s="2988" t="str">
        <f t="shared" si="6"/>
        <v/>
      </c>
      <c r="J216" s="2988" t="e">
        <f>HLOOKUP(D216,pp3p1m!$9:$11,2,0)</f>
        <v>#N/A</v>
      </c>
    </row>
    <row r="217" spans="2:10">
      <c r="B217" s="1211"/>
      <c r="C217" s="1211" t="s">
        <v>4392</v>
      </c>
      <c r="D217" s="1211" t="s">
        <v>4093</v>
      </c>
      <c r="F217" s="1324" t="str">
        <f>IF(LEN(C217)&gt;0,VLOOKUP(C217,DG!A:C,3,0),"")</f>
        <v/>
      </c>
      <c r="G217" s="1211"/>
      <c r="H217" s="2988" t="str">
        <f t="shared" si="6"/>
        <v/>
      </c>
      <c r="J217" s="2988" t="e">
        <f>HLOOKUP(D217,pp3p1m!$9:$11,2,0)</f>
        <v>#N/A</v>
      </c>
    </row>
    <row r="218" spans="2:10">
      <c r="B218" s="1211"/>
      <c r="C218" s="1211" t="s">
        <v>4392</v>
      </c>
      <c r="D218" s="1211" t="s">
        <v>4094</v>
      </c>
      <c r="F218" s="1324" t="str">
        <f>IF(LEN(C218)&gt;0,VLOOKUP(C218,DG!A:C,3,0),"")</f>
        <v/>
      </c>
      <c r="G218" s="1211"/>
      <c r="H218" s="2988" t="str">
        <f t="shared" si="6"/>
        <v/>
      </c>
      <c r="J218" s="2988" t="e">
        <f>HLOOKUP(D218,pp3p1m!$9:$11,2,0)</f>
        <v>#N/A</v>
      </c>
    </row>
    <row r="219" spans="2:10">
      <c r="B219" s="1211"/>
      <c r="C219" s="1211" t="s">
        <v>4392</v>
      </c>
      <c r="D219" s="1211" t="s">
        <v>3898</v>
      </c>
      <c r="F219" s="1324" t="str">
        <f>IF(LEN(C219)&gt;0,VLOOKUP(C219,DG!A:C,3,0),"")</f>
        <v/>
      </c>
      <c r="G219" s="1211"/>
      <c r="H219" s="2988" t="str">
        <f t="shared" si="6"/>
        <v/>
      </c>
      <c r="J219" s="2988" t="e">
        <f>HLOOKUP(D219,pp3p1m!$9:$11,2,0)</f>
        <v>#N/A</v>
      </c>
    </row>
    <row r="220" spans="2:10">
      <c r="B220" s="1211"/>
      <c r="C220" s="1211" t="s">
        <v>4392</v>
      </c>
      <c r="D220" s="1211" t="s">
        <v>4095</v>
      </c>
      <c r="F220" s="1324" t="str">
        <f>IF(LEN(C220)&gt;0,VLOOKUP(C220,DG!A:C,3,0),"")</f>
        <v/>
      </c>
      <c r="G220" s="1211"/>
      <c r="H220" s="2988" t="str">
        <f t="shared" si="6"/>
        <v/>
      </c>
      <c r="J220" s="2988" t="e">
        <f>HLOOKUP(D220,pp3p1m!$9:$11,2,0)</f>
        <v>#N/A</v>
      </c>
    </row>
    <row r="221" spans="2:10">
      <c r="B221" s="1211"/>
      <c r="C221" s="1211" t="s">
        <v>4392</v>
      </c>
      <c r="D221" s="1211" t="s">
        <v>4096</v>
      </c>
      <c r="F221" s="1324" t="str">
        <f>IF(LEN(C221)&gt;0,VLOOKUP(C221,DG!A:C,3,0),"")</f>
        <v/>
      </c>
      <c r="G221" s="1211"/>
      <c r="H221" s="2988" t="str">
        <f t="shared" si="6"/>
        <v/>
      </c>
      <c r="J221" s="2988" t="e">
        <f>HLOOKUP(D221,pp3p1m!$9:$11,2,0)</f>
        <v>#N/A</v>
      </c>
    </row>
    <row r="222" spans="2:10">
      <c r="B222" s="1211"/>
      <c r="C222" s="1211" t="s">
        <v>4392</v>
      </c>
      <c r="D222" s="1211" t="s">
        <v>4097</v>
      </c>
      <c r="F222" s="1324" t="str">
        <f>IF(LEN(C222)&gt;0,VLOOKUP(C222,DG!A:C,3,0),"")</f>
        <v/>
      </c>
      <c r="G222" s="1211"/>
      <c r="H222" s="2988" t="str">
        <f t="shared" si="6"/>
        <v/>
      </c>
      <c r="J222" s="2988" t="e">
        <f>HLOOKUP(D222,pp3p1m!$9:$11,2,0)</f>
        <v>#N/A</v>
      </c>
    </row>
    <row r="223" spans="2:10">
      <c r="B223" s="1211"/>
      <c r="C223" s="1211" t="s">
        <v>4392</v>
      </c>
      <c r="D223" s="1211" t="s">
        <v>4098</v>
      </c>
      <c r="F223" s="1324" t="str">
        <f>IF(LEN(C223)&gt;0,VLOOKUP(C223,DG!A:C,3,0),"")</f>
        <v/>
      </c>
      <c r="G223" s="1211"/>
      <c r="H223" s="2988" t="str">
        <f t="shared" si="6"/>
        <v/>
      </c>
      <c r="J223" s="2988" t="e">
        <f>HLOOKUP(D223,pp3p1m!$9:$11,2,0)</f>
        <v>#N/A</v>
      </c>
    </row>
    <row r="224" spans="2:10">
      <c r="B224" s="1211"/>
      <c r="C224" s="1211" t="s">
        <v>4392</v>
      </c>
      <c r="D224" s="1211" t="s">
        <v>4099</v>
      </c>
      <c r="F224" s="1324" t="str">
        <f>IF(LEN(C224)&gt;0,VLOOKUP(C224,DG!A:C,3,0),"")</f>
        <v/>
      </c>
      <c r="G224" s="1211"/>
      <c r="H224" s="2988" t="str">
        <f t="shared" si="6"/>
        <v/>
      </c>
      <c r="J224" s="2988" t="e">
        <f>HLOOKUP(D224,pp3p1m!$9:$11,2,0)</f>
        <v>#N/A</v>
      </c>
    </row>
    <row r="225" spans="2:10">
      <c r="B225" s="1211"/>
      <c r="C225" s="1211" t="s">
        <v>4392</v>
      </c>
      <c r="D225" s="1211" t="s">
        <v>4100</v>
      </c>
      <c r="F225" s="1324" t="str">
        <f>IF(LEN(C225)&gt;0,VLOOKUP(C225,DG!A:C,3,0),"")</f>
        <v/>
      </c>
      <c r="G225" s="1211"/>
      <c r="H225" s="2988" t="str">
        <f t="shared" si="6"/>
        <v/>
      </c>
      <c r="J225" s="2988" t="e">
        <f>HLOOKUP(D225,pp3p1m!$9:$11,2,0)</f>
        <v>#N/A</v>
      </c>
    </row>
    <row r="226" spans="2:10" s="2988" customFormat="1">
      <c r="C226" s="2988" t="s">
        <v>4392</v>
      </c>
      <c r="D226" s="2988" t="s">
        <v>4102</v>
      </c>
      <c r="F226" s="2995" t="str">
        <f>IF(LEN(C226)&gt;0,VLOOKUP(C226,DG!A:C,3,0),"")</f>
        <v/>
      </c>
      <c r="H226" s="2988" t="str">
        <f t="shared" ref="H226:H237" si="7">C226</f>
        <v/>
      </c>
      <c r="J226" s="2988" t="e">
        <f>HLOOKUP(D226,pp3p1m!$9:$11,2,0)</f>
        <v>#N/A</v>
      </c>
    </row>
    <row r="227" spans="2:10">
      <c r="B227" s="1211"/>
      <c r="C227" s="1211" t="s">
        <v>1630</v>
      </c>
      <c r="D227" s="1211" t="s">
        <v>2402</v>
      </c>
      <c r="F227" s="1324" t="str">
        <f>IF(LEN(C227)&gt;0,VLOOKUP(C227,DG!A:C,3,0),"")</f>
        <v>Nhổ trụ 8,4m</v>
      </c>
      <c r="G227" s="1211"/>
      <c r="H227" s="2988" t="str">
        <f t="shared" si="7"/>
        <v>N-BTLT 8.4</v>
      </c>
      <c r="J227" s="2988" t="e">
        <f>HLOOKUP(D227,pp3p1m!$9:$11,2,0)</f>
        <v>#N/A</v>
      </c>
    </row>
    <row r="228" spans="2:10">
      <c r="B228" s="1211"/>
      <c r="C228" s="1211" t="s">
        <v>4392</v>
      </c>
      <c r="D228" s="1211" t="s">
        <v>4103</v>
      </c>
      <c r="F228" s="1324" t="str">
        <f>IF(LEN(C228)&gt;0,VLOOKUP(C228,DG!A:C,3,0),"")</f>
        <v/>
      </c>
      <c r="G228" s="1211"/>
      <c r="H228" s="2988" t="str">
        <f t="shared" si="7"/>
        <v/>
      </c>
      <c r="J228" s="2988" t="e">
        <f>HLOOKUP(D228,pp3p1m!$9:$11,2,0)</f>
        <v>#N/A</v>
      </c>
    </row>
    <row r="229" spans="2:10">
      <c r="B229" s="1211"/>
      <c r="C229" s="1211" t="s">
        <v>4392</v>
      </c>
      <c r="D229" s="1211" t="s">
        <v>4104</v>
      </c>
      <c r="F229" s="1324" t="str">
        <f>IF(LEN(C229)&gt;0,VLOOKUP(C229,DG!A:C,3,0),"")</f>
        <v/>
      </c>
      <c r="G229" s="1211"/>
      <c r="H229" s="2988" t="str">
        <f t="shared" si="7"/>
        <v/>
      </c>
      <c r="J229" s="2988" t="e">
        <f>HLOOKUP(D229,pp3p1m!$9:$11,2,0)</f>
        <v>#N/A</v>
      </c>
    </row>
    <row r="230" spans="2:10">
      <c r="B230" s="1211"/>
      <c r="C230" s="1211" t="s">
        <v>4392</v>
      </c>
      <c r="D230" s="1211" t="s">
        <v>4105</v>
      </c>
      <c r="F230" s="1324" t="str">
        <f>IF(LEN(C230)&gt;0,VLOOKUP(C230,DG!A:C,3,0),"")</f>
        <v/>
      </c>
      <c r="G230" s="1211"/>
      <c r="H230" s="2988" t="str">
        <f t="shared" si="7"/>
        <v/>
      </c>
      <c r="J230" s="2988">
        <f>HLOOKUP(D230,pp3p1m!$9:$11,2,0)</f>
        <v>3</v>
      </c>
    </row>
    <row r="231" spans="2:10">
      <c r="B231" s="1211"/>
      <c r="C231" s="1211" t="s">
        <v>4392</v>
      </c>
      <c r="D231" s="1211" t="s">
        <v>3828</v>
      </c>
      <c r="F231" s="1324" t="str">
        <f>IF(LEN(C231)&gt;0,VLOOKUP(C231,DG!A:C,3,0),"")</f>
        <v/>
      </c>
      <c r="G231" s="1211"/>
      <c r="H231" s="2988" t="str">
        <f t="shared" si="7"/>
        <v/>
      </c>
      <c r="J231" s="2988">
        <f>HLOOKUP(D231,pp3p1m!$9:$11,2,0)</f>
        <v>1</v>
      </c>
    </row>
    <row r="232" spans="2:10">
      <c r="B232" s="1211"/>
      <c r="C232" s="1211" t="s">
        <v>4392</v>
      </c>
      <c r="D232" s="1211" t="s">
        <v>4106</v>
      </c>
      <c r="F232" s="1324" t="str">
        <f>IF(LEN(C232)&gt;0,VLOOKUP(C232,DG!A:C,3,0),"")</f>
        <v/>
      </c>
      <c r="G232" s="1211"/>
      <c r="H232" s="2988" t="str">
        <f t="shared" si="7"/>
        <v/>
      </c>
      <c r="J232" s="2988" t="e">
        <f>HLOOKUP(D232,pp3p1m!$9:$11,2,0)</f>
        <v>#N/A</v>
      </c>
    </row>
    <row r="233" spans="2:10" s="2988" customFormat="1">
      <c r="C233" s="2988" t="s">
        <v>2160</v>
      </c>
      <c r="D233" s="2988" t="s">
        <v>6413</v>
      </c>
      <c r="F233" s="2995" t="str">
        <f>IF(LEN(C233)&gt;0,VLOOKUP(C233,DG!A:C,3,0),"")</f>
        <v>Bộ khóa néo dây trung hòa vào xà</v>
      </c>
      <c r="H233" s="2988" t="str">
        <f t="shared" si="7"/>
        <v>Nth-X</v>
      </c>
      <c r="J233" s="2988" t="e">
        <f>HLOOKUP(D233,pp3p1m!$9:$11,2,0)</f>
        <v>#N/A</v>
      </c>
    </row>
    <row r="234" spans="2:10" s="2988" customFormat="1">
      <c r="C234" s="2988" t="s">
        <v>4392</v>
      </c>
      <c r="D234" s="2988" t="s">
        <v>4107</v>
      </c>
      <c r="F234" s="2995" t="str">
        <f>IF(LEN(C234)&gt;0,VLOOKUP(C234,DG!A:C,3,0),"")</f>
        <v/>
      </c>
      <c r="H234" s="2988" t="str">
        <f t="shared" si="7"/>
        <v/>
      </c>
      <c r="J234" s="2988" t="e">
        <f>HLOOKUP(D234,pp3p1m!$9:$11,2,0)</f>
        <v>#N/A</v>
      </c>
    </row>
    <row r="235" spans="2:10">
      <c r="B235" s="1211"/>
      <c r="C235" s="1211" t="s">
        <v>4392</v>
      </c>
      <c r="D235" s="1211" t="s">
        <v>4108</v>
      </c>
      <c r="F235" s="1324" t="str">
        <f>IF(LEN(C235)&gt;0,VLOOKUP(C235,DG!A:C,3,0),"")</f>
        <v/>
      </c>
      <c r="G235" s="1211"/>
      <c r="H235" s="2988" t="str">
        <f t="shared" si="7"/>
        <v/>
      </c>
      <c r="J235" s="2988" t="e">
        <f>HLOOKUP(D235,pp3p1m!$9:$11,2,0)</f>
        <v>#N/A</v>
      </c>
    </row>
    <row r="236" spans="2:10">
      <c r="B236" s="1211"/>
      <c r="C236" s="1211" t="s">
        <v>4392</v>
      </c>
      <c r="D236" s="1211" t="s">
        <v>4109</v>
      </c>
      <c r="F236" s="1324" t="str">
        <f>IF(LEN(C236)&gt;0,VLOOKUP(C236,DG!A:C,3,0),"")</f>
        <v/>
      </c>
      <c r="G236" s="1211"/>
      <c r="H236" s="2988" t="str">
        <f t="shared" si="7"/>
        <v/>
      </c>
      <c r="J236" s="2988" t="e">
        <f>HLOOKUP(D236,pp3p1m!$9:$11,2,0)</f>
        <v>#N/A</v>
      </c>
    </row>
    <row r="237" spans="2:10">
      <c r="B237" s="1211"/>
      <c r="C237" s="1211" t="s">
        <v>4392</v>
      </c>
      <c r="D237" s="1211" t="s">
        <v>4110</v>
      </c>
      <c r="F237" s="1324" t="str">
        <f>IF(LEN(C237)&gt;0,VLOOKUP(C237,DG!A:C,3,0),"")</f>
        <v/>
      </c>
      <c r="G237" s="1211"/>
      <c r="H237" s="2988" t="str">
        <f t="shared" si="7"/>
        <v/>
      </c>
      <c r="J237" s="2988" t="e">
        <f>HLOOKUP(D237,pp3p1m!$9:$11,2,0)</f>
        <v>#N/A</v>
      </c>
    </row>
    <row r="238" spans="2:10" hidden="1"/>
  </sheetData>
  <autoFilter ref="A1:J238" xr:uid="{00000000-0009-0000-0000-000006000000}">
    <filterColumn colId="3">
      <colorFilter dxfId="172"/>
    </filterColumn>
    <filterColumn colId="9">
      <filters>
        <filter val="#N/A"/>
        <filter val="1"/>
        <filter val="106"/>
        <filter val="12"/>
        <filter val="17"/>
        <filter val="2"/>
        <filter val="216"/>
        <filter val="23"/>
        <filter val="272"/>
        <filter val="29"/>
        <filter val="3"/>
        <filter val="30"/>
        <filter val="33"/>
        <filter val="48"/>
        <filter val="8"/>
      </filters>
    </filterColumn>
    <sortState xmlns:xlrd2="http://schemas.microsoft.com/office/spreadsheetml/2017/richdata2" ref="A2:J237">
      <sortCondition ref="B1:B238"/>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9" operator="containsText" id="{0F4830E7-3760-4550-AC24-3FCA6F26C2CB}">
            <xm:f>NOT(ISERROR(SEARCH($D$1,D1)))</xm:f>
            <xm:f>$D$1</xm:f>
            <x14:dxf>
              <font>
                <color rgb="FF9C0006"/>
              </font>
              <fill>
                <patternFill>
                  <bgColor rgb="FFFFC7CE"/>
                </patternFill>
              </fill>
            </x14:dxf>
          </x14:cfRule>
          <xm:sqref>D1 D33 D71:D85 D117:D134 D136:D139 D200:D204 D158:D181 D39:D63 D4:D5 D12:D22 D66:D69 D87 D7:D10 D89:D115 D141:D156 D183:D198 D208:D225 D25 D235:D1048576 D227:D232 D29 D35:D37</xm:sqref>
        </x14:conditionalFormatting>
        <x14:conditionalFormatting xmlns:xm="http://schemas.microsoft.com/office/excel/2006/main">
          <x14:cfRule type="containsText" priority="38" operator="containsText" id="{B03AFB45-746E-4356-961D-A9F7BAEBAE30}">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37" operator="containsText" id="{11ACBFA4-4585-4AB6-8CCB-A08B1E50E947}">
            <xm:f>NOT(ISERROR(SEARCH($D$1,D38)))</xm:f>
            <xm:f>$D$1</xm:f>
            <x14:dxf>
              <font>
                <color rgb="FF9C0006"/>
              </font>
              <fill>
                <patternFill>
                  <bgColor rgb="FFFFC7CE"/>
                </patternFill>
              </fill>
            </x14:dxf>
          </x14:cfRule>
          <xm:sqref>D38</xm:sqref>
        </x14:conditionalFormatting>
        <x14:conditionalFormatting xmlns:xm="http://schemas.microsoft.com/office/excel/2006/main">
          <x14:cfRule type="containsText" priority="36" operator="containsText" id="{984EF4B8-1BAD-449D-97AC-CDDD16BC1585}">
            <xm:f>NOT(ISERROR(SEARCH($D$1,D70)))</xm:f>
            <xm:f>$D$1</xm:f>
            <x14:dxf>
              <font>
                <color rgb="FF9C0006"/>
              </font>
              <fill>
                <patternFill>
                  <bgColor rgb="FFFFC7CE"/>
                </patternFill>
              </fill>
            </x14:dxf>
          </x14:cfRule>
          <xm:sqref>D70</xm:sqref>
        </x14:conditionalFormatting>
        <x14:conditionalFormatting xmlns:xm="http://schemas.microsoft.com/office/excel/2006/main">
          <x14:cfRule type="containsText" priority="35" operator="containsText" id="{A108195F-B7F7-4D23-8E5C-078E86DA7F0B}">
            <xm:f>NOT(ISERROR(SEARCH($D$1,D116)))</xm:f>
            <xm:f>$D$1</xm:f>
            <x14:dxf>
              <font>
                <color rgb="FF9C0006"/>
              </font>
              <fill>
                <patternFill>
                  <bgColor rgb="FFFFC7CE"/>
                </patternFill>
              </fill>
            </x14:dxf>
          </x14:cfRule>
          <xm:sqref>D116</xm:sqref>
        </x14:conditionalFormatting>
        <x14:conditionalFormatting xmlns:xm="http://schemas.microsoft.com/office/excel/2006/main">
          <x14:cfRule type="containsText" priority="34" operator="containsText" id="{FE7A54F6-404E-4D20-BE95-17667B5A5B46}">
            <xm:f>NOT(ISERROR(SEARCH($D$1,D135)))</xm:f>
            <xm:f>$D$1</xm:f>
            <x14:dxf>
              <font>
                <color rgb="FF9C0006"/>
              </font>
              <fill>
                <patternFill>
                  <bgColor rgb="FFFFC7CE"/>
                </patternFill>
              </fill>
            </x14:dxf>
          </x14:cfRule>
          <xm:sqref>D135</xm:sqref>
        </x14:conditionalFormatting>
        <x14:conditionalFormatting xmlns:xm="http://schemas.microsoft.com/office/excel/2006/main">
          <x14:cfRule type="containsText" priority="29" operator="containsText" id="{95A4CAEE-F9B4-4C46-BC9B-03532709051B}">
            <xm:f>NOT(ISERROR(SEARCH($D$1,D157)))</xm:f>
            <xm:f>$D$1</xm:f>
            <x14:dxf>
              <font>
                <color rgb="FF9C0006"/>
              </font>
              <fill>
                <patternFill>
                  <bgColor rgb="FFFFC7CE"/>
                </patternFill>
              </fill>
            </x14:dxf>
          </x14:cfRule>
          <xm:sqref>D157</xm:sqref>
        </x14:conditionalFormatting>
        <x14:conditionalFormatting xmlns:xm="http://schemas.microsoft.com/office/excel/2006/main">
          <x14:cfRule type="containsText" priority="28"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24"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3"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2"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1" operator="containsText" id="{DCF85FF1-EAD9-448D-BE51-64CC2327FA90}">
            <xm:f>NOT(ISERROR(SEARCH($D$1,D64)))</xm:f>
            <xm:f>$D$1</xm:f>
            <x14:dxf>
              <font>
                <color rgb="FF9C0006"/>
              </font>
              <fill>
                <patternFill>
                  <bgColor rgb="FFFFC7CE"/>
                </patternFill>
              </fill>
            </x14:dxf>
          </x14:cfRule>
          <xm:sqref>D64</xm:sqref>
        </x14:conditionalFormatting>
        <x14:conditionalFormatting xmlns:xm="http://schemas.microsoft.com/office/excel/2006/main">
          <x14:cfRule type="containsText" priority="20" operator="containsText" id="{D8FBCC86-CC66-4459-8718-A63CB76B8A86}">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9"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7" operator="containsText" id="{5AE56DFB-F82C-4A7C-B393-4E58517CCBE8}">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16" operator="containsText" id="{89395259-67FA-4619-B3D1-8744672DA92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15"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14"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13"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2"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1"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10" operator="containsText" id="{9E740EAF-1723-42D5-8BA3-A7B391F0FA54}">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9" operator="containsText" id="{6F3BE5B9-2A6B-4909-85EC-88998935524E}">
            <xm:f>NOT(ISERROR(SEARCH($D$1,D234)))</xm:f>
            <xm:f>$D$1</xm:f>
            <x14:dxf>
              <font>
                <color rgb="FF9C0006"/>
              </font>
              <fill>
                <patternFill>
                  <bgColor rgb="FFFFC7CE"/>
                </patternFill>
              </fill>
            </x14:dxf>
          </x14:cfRule>
          <xm:sqref>D234</xm:sqref>
        </x14:conditionalFormatting>
        <x14:conditionalFormatting xmlns:xm="http://schemas.microsoft.com/office/excel/2006/main">
          <x14:cfRule type="containsText" priority="8"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7" operator="containsText" id="{F97CEFC2-2A23-4209-B960-CC5B7C72FF51}">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6" operator="containsText" id="{62F0D070-FD75-487C-8319-0600AFE4FA7D}">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5" operator="containsText" id="{15C5B6A5-3E9D-4135-9187-A3D315706D40}">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4" operator="containsText" id="{0F6B1D53-018D-4EB5-9A53-BA36EA7B8682}">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3" operator="containsText" id="{30B719A7-DA8D-4AE7-A38A-E93743252519}">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2" operator="containsText" id="{4E746FF9-8968-474B-B226-E211BB42C7CF}">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 operator="containsText" id="{7D821A6B-12EB-4043-8FB9-028E5EB21226}">
            <xm:f>NOT(ISERROR(SEARCH($D$1,D34)))</xm:f>
            <xm:f>$D$1</xm:f>
            <x14:dxf>
              <font>
                <color rgb="FF9C0006"/>
              </font>
              <fill>
                <patternFill>
                  <bgColor rgb="FFFFC7CE"/>
                </patternFill>
              </fill>
            </x14:dxf>
          </x14:cfRule>
          <xm:sqref>D34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5" customWidth="1"/>
    <col min="2" max="2" width="5.08984375" style="1485" customWidth="1"/>
    <col min="3" max="3" width="6.90625" style="1485" customWidth="1"/>
    <col min="4" max="4" width="6" style="1485" customWidth="1"/>
    <col min="5" max="6" width="3.90625" style="1485" customWidth="1"/>
    <col min="7" max="7" width="4.6328125" style="1486" customWidth="1"/>
    <col min="8" max="8" width="5.6328125" style="1485" customWidth="1"/>
    <col min="9" max="18" width="4.81640625" style="1485" customWidth="1"/>
    <col min="19" max="19" width="5.54296875" style="1485" customWidth="1"/>
    <col min="20" max="20" width="5.1796875" style="1485" customWidth="1"/>
    <col min="21" max="21" width="4.81640625" style="1485" customWidth="1"/>
    <col min="22" max="22" width="6.6328125" style="1485" customWidth="1"/>
    <col min="23" max="41" width="4.81640625" style="1485" customWidth="1"/>
    <col min="42" max="42" width="5.453125" style="1485" customWidth="1"/>
    <col min="43" max="43" width="8.81640625" style="1485" customWidth="1"/>
    <col min="44" max="44" width="5.1796875" style="1485" customWidth="1"/>
    <col min="45" max="47" width="8.81640625" style="1485" customWidth="1"/>
    <col min="48" max="54" width="4.81640625" style="1485" customWidth="1"/>
    <col min="55" max="57" width="4.81640625" style="1487" customWidth="1"/>
    <col min="58" max="65" width="4.81640625" style="1485" customWidth="1"/>
    <col min="66" max="66" width="6.81640625" style="1485" customWidth="1"/>
    <col min="67" max="71" width="4.81640625" style="1485" customWidth="1"/>
    <col min="72" max="72" width="3.90625" style="1485" customWidth="1"/>
    <col min="73" max="81" width="4.81640625" style="1485" customWidth="1"/>
    <col min="82" max="101" width="4.36328125" style="1485" customWidth="1"/>
    <col min="102" max="102" width="7.81640625" style="1488" customWidth="1"/>
    <col min="103" max="16384" width="8.90625" style="1485"/>
  </cols>
  <sheetData>
    <row r="1" spans="1:262" s="1954" customFormat="1" ht="81" customHeight="1" outlineLevel="1">
      <c r="B1" s="1954" t="s">
        <v>4716</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4706</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899999999999999" customHeight="1" outlineLevel="1">
      <c r="A2" s="1485" t="s">
        <v>4376</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899999999999999"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3.8"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2" customHeight="1">
      <c r="A6" s="3121" t="str">
        <f>chitiet!E7</f>
        <v>Công trình: Xây dựng mới TBA 3P-1000kVA Công ty cổ phần Xuân Trường Solar</v>
      </c>
      <c r="B6" s="3121"/>
      <c r="C6" s="3121"/>
      <c r="D6" s="3121"/>
      <c r="E6" s="3121"/>
      <c r="F6" s="3121"/>
      <c r="G6" s="3121"/>
      <c r="H6" s="3121"/>
      <c r="I6" s="3121"/>
      <c r="J6" s="3121"/>
      <c r="K6" s="3121"/>
      <c r="L6" s="3121"/>
      <c r="M6" s="3121"/>
      <c r="N6" s="3121"/>
      <c r="O6" s="3121"/>
      <c r="P6" s="3121"/>
      <c r="Q6" s="3121"/>
      <c r="R6" s="3121"/>
      <c r="S6" s="3121"/>
      <c r="T6" s="3121"/>
      <c r="U6" s="3121"/>
      <c r="V6" s="3121"/>
      <c r="W6" s="3121"/>
      <c r="X6" s="3121"/>
      <c r="Y6" s="3121"/>
      <c r="Z6" s="3121"/>
      <c r="AA6" s="3121"/>
      <c r="AB6" s="3121"/>
      <c r="AC6" s="3121"/>
      <c r="AD6" s="3121"/>
      <c r="AE6" s="3121"/>
      <c r="AF6" s="3121"/>
      <c r="AG6" s="3121"/>
      <c r="AH6" s="3121"/>
      <c r="AI6" s="3121"/>
      <c r="AJ6" s="3121"/>
      <c r="AK6" s="3121"/>
      <c r="AL6" s="3121"/>
      <c r="AM6" s="3121"/>
      <c r="AN6" s="3121"/>
      <c r="AO6" s="3121"/>
      <c r="AP6" s="3121"/>
      <c r="AQ6" s="3121"/>
      <c r="AR6" s="3121"/>
      <c r="AS6" s="3121"/>
      <c r="AT6" s="3121"/>
      <c r="AU6" s="3121"/>
      <c r="AV6" s="3121"/>
      <c r="AW6" s="3121"/>
      <c r="AX6" s="3121"/>
      <c r="AY6" s="3121"/>
      <c r="AZ6" s="3121"/>
      <c r="BA6" s="3121"/>
      <c r="BB6" s="3121"/>
      <c r="BC6" s="3121"/>
      <c r="BD6" s="3121"/>
      <c r="BE6" s="3121"/>
      <c r="BF6" s="3121"/>
      <c r="BG6" s="3121"/>
      <c r="BH6" s="3121"/>
      <c r="BI6" s="3121"/>
      <c r="BJ6" s="3121"/>
      <c r="BK6" s="3121"/>
      <c r="BL6" s="3121"/>
      <c r="BM6" s="3121"/>
      <c r="BN6" s="3121"/>
      <c r="BO6" s="3121"/>
      <c r="BP6" s="3121"/>
      <c r="BQ6" s="3121"/>
      <c r="BR6" s="3121"/>
      <c r="BS6" s="3121"/>
      <c r="BT6" s="3121"/>
      <c r="BU6" s="3121"/>
      <c r="BV6" s="3121"/>
      <c r="BW6" s="3121"/>
      <c r="BX6" s="3121"/>
      <c r="BY6" s="3121"/>
      <c r="BZ6" s="3121"/>
      <c r="CA6" s="3121"/>
      <c r="CB6" s="3121"/>
      <c r="CC6" s="3121"/>
      <c r="CD6" s="3121"/>
      <c r="CE6" s="3121"/>
      <c r="CF6" s="3121"/>
      <c r="CG6" s="3121"/>
      <c r="CH6" s="3121"/>
      <c r="CI6" s="3121"/>
      <c r="CJ6" s="3121"/>
      <c r="CK6" s="3121"/>
      <c r="CL6" s="3121"/>
      <c r="CM6" s="3121"/>
      <c r="CN6" s="3121"/>
      <c r="CO6" s="3121"/>
      <c r="CP6" s="3121"/>
      <c r="CQ6" s="3121"/>
      <c r="CR6" s="3121"/>
      <c r="CS6" s="3121"/>
      <c r="CT6" s="3121"/>
      <c r="CU6" s="3121"/>
      <c r="CV6" s="3121"/>
      <c r="CW6" s="3121"/>
      <c r="CX6" s="3121"/>
    </row>
    <row r="7" spans="1:262" s="1490" customFormat="1" ht="31.2" customHeight="1" thickBot="1">
      <c r="A7" s="3121" t="str">
        <f>chitiet!E8</f>
        <v>Địa điểm: Xã Xuân Hưng - Huyện Xuân Lộc - Tỉnh Đồng Nai</v>
      </c>
      <c r="B7" s="3121"/>
      <c r="C7" s="3109"/>
      <c r="D7" s="3121"/>
      <c r="E7" s="3109"/>
      <c r="F7" s="3109"/>
      <c r="G7" s="3109"/>
      <c r="H7" s="3121"/>
      <c r="I7" s="3109"/>
      <c r="J7" s="3121"/>
      <c r="K7" s="3109"/>
      <c r="L7" s="3121"/>
      <c r="M7" s="3121"/>
      <c r="N7" s="3109"/>
      <c r="O7" s="3109"/>
      <c r="P7" s="3109"/>
      <c r="Q7" s="3109"/>
      <c r="R7" s="3109"/>
      <c r="S7" s="3121"/>
      <c r="T7" s="3109"/>
      <c r="U7" s="3109"/>
      <c r="V7" s="3109"/>
      <c r="W7" s="3121"/>
      <c r="X7" s="3109"/>
      <c r="Y7" s="3109"/>
      <c r="Z7" s="3109"/>
      <c r="AA7" s="3109"/>
      <c r="AB7" s="3109"/>
      <c r="AC7" s="3109"/>
      <c r="AD7" s="3109"/>
      <c r="AE7" s="3109"/>
      <c r="AF7" s="3109"/>
      <c r="AG7" s="3109"/>
      <c r="AH7" s="3109"/>
      <c r="AI7" s="3109"/>
      <c r="AJ7" s="3109"/>
      <c r="AK7" s="3109"/>
      <c r="AL7" s="3109"/>
      <c r="AM7" s="3109"/>
      <c r="AN7" s="3121"/>
      <c r="AO7" s="3121"/>
      <c r="AP7" s="3109"/>
      <c r="AQ7" s="3109"/>
      <c r="AR7" s="3109"/>
      <c r="AS7" s="3109"/>
      <c r="AT7" s="3109"/>
      <c r="AU7" s="3109"/>
      <c r="AV7" s="3109"/>
      <c r="AW7" s="3121"/>
      <c r="AX7" s="3121"/>
      <c r="AY7" s="3109"/>
      <c r="AZ7" s="3109"/>
      <c r="BA7" s="3109"/>
      <c r="BB7" s="3109"/>
      <c r="BC7" s="3109"/>
      <c r="BD7" s="3121"/>
      <c r="BE7" s="3109"/>
      <c r="BF7" s="3109"/>
      <c r="BG7" s="3109"/>
      <c r="BH7" s="3109"/>
      <c r="BI7" s="3109"/>
      <c r="BJ7" s="3109"/>
      <c r="BK7" s="3109"/>
      <c r="BL7" s="3109"/>
      <c r="BM7" s="3121"/>
      <c r="BN7" s="3109"/>
      <c r="BO7" s="3121"/>
      <c r="BP7" s="3121"/>
      <c r="BQ7" s="3109"/>
      <c r="BR7" s="3109"/>
      <c r="BS7" s="3109"/>
      <c r="BT7" s="3121"/>
      <c r="BU7" s="3121"/>
      <c r="BV7" s="3121"/>
      <c r="BW7" s="3121"/>
      <c r="BX7" s="3121"/>
      <c r="BY7" s="3109"/>
      <c r="BZ7" s="3121"/>
      <c r="CA7" s="3121"/>
      <c r="CB7" s="3121"/>
      <c r="CC7" s="3121"/>
      <c r="CD7" s="3109"/>
      <c r="CE7" s="3109"/>
      <c r="CF7" s="3109"/>
      <c r="CG7" s="3109"/>
      <c r="CH7" s="3109"/>
      <c r="CI7" s="3109"/>
      <c r="CJ7" s="3109"/>
      <c r="CK7" s="3109"/>
      <c r="CL7" s="3109"/>
      <c r="CM7" s="3109"/>
      <c r="CN7" s="3109"/>
      <c r="CO7" s="3109"/>
      <c r="CP7" s="3109"/>
      <c r="CQ7" s="3109"/>
      <c r="CR7" s="3121"/>
      <c r="CS7" s="3121"/>
      <c r="CT7" s="3121"/>
      <c r="CU7" s="3121"/>
      <c r="CV7" s="3121"/>
      <c r="CW7" s="3121"/>
      <c r="CX7" s="3121"/>
    </row>
    <row r="8" spans="1:262" s="529" customFormat="1" ht="29.4" customHeight="1" thickTop="1">
      <c r="A8" s="3122" t="s">
        <v>3764</v>
      </c>
      <c r="B8" s="3122" t="s">
        <v>3765</v>
      </c>
      <c r="C8" s="3153" t="s">
        <v>3904</v>
      </c>
      <c r="D8" s="3122" t="s">
        <v>3905</v>
      </c>
      <c r="E8" s="3155" t="s">
        <v>3772</v>
      </c>
      <c r="F8" s="3130" t="s">
        <v>3773</v>
      </c>
      <c r="G8" s="3156" t="s">
        <v>3906</v>
      </c>
      <c r="H8" s="3122" t="s">
        <v>3775</v>
      </c>
      <c r="I8" s="3143" t="s">
        <v>2277</v>
      </c>
      <c r="J8" s="3144"/>
      <c r="K8" s="3143"/>
      <c r="L8" s="3144"/>
      <c r="M8" s="3145"/>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32" t="s">
        <v>2390</v>
      </c>
      <c r="BD8" s="3122" t="s">
        <v>2392</v>
      </c>
      <c r="BE8" s="3137" t="s">
        <v>2394</v>
      </c>
      <c r="BF8" s="511"/>
      <c r="BG8" s="528"/>
      <c r="BH8" s="528"/>
      <c r="BI8" s="528"/>
      <c r="BJ8" s="511" t="s">
        <v>3779</v>
      </c>
      <c r="BK8" s="528"/>
      <c r="BL8" s="562"/>
      <c r="BM8" s="3149" t="s">
        <v>4534</v>
      </c>
      <c r="BN8" s="1935"/>
      <c r="BO8" s="3139" t="s">
        <v>3780</v>
      </c>
      <c r="BP8" s="3139" t="s">
        <v>3781</v>
      </c>
      <c r="BQ8" s="3147" t="s">
        <v>3908</v>
      </c>
      <c r="BR8" s="3141" t="s">
        <v>3909</v>
      </c>
      <c r="BS8" s="3146" t="s">
        <v>3884</v>
      </c>
      <c r="BT8" s="3124" t="s">
        <v>3910</v>
      </c>
      <c r="BU8" s="3122" t="s">
        <v>3911</v>
      </c>
      <c r="BV8" s="3126" t="s">
        <v>3912</v>
      </c>
      <c r="BW8" s="3124" t="s">
        <v>3913</v>
      </c>
      <c r="BX8" s="3122" t="s">
        <v>3785</v>
      </c>
      <c r="BY8" s="3135" t="s">
        <v>3787</v>
      </c>
      <c r="BZ8" s="3122" t="s">
        <v>3914</v>
      </c>
      <c r="CA8" s="3122" t="s">
        <v>4775</v>
      </c>
      <c r="CB8" s="3122" t="s">
        <v>3790</v>
      </c>
      <c r="CC8" s="3122" t="s">
        <v>2873</v>
      </c>
      <c r="CD8" s="3137" t="s">
        <v>2874</v>
      </c>
      <c r="CE8" s="3130" t="s">
        <v>2875</v>
      </c>
      <c r="CF8" s="3130" t="s">
        <v>2876</v>
      </c>
      <c r="CG8" s="3130" t="s">
        <v>2877</v>
      </c>
      <c r="CH8" s="3130" t="s">
        <v>2878</v>
      </c>
      <c r="CI8" s="3130" t="s">
        <v>2879</v>
      </c>
      <c r="CJ8" s="3130" t="s">
        <v>3797</v>
      </c>
      <c r="CK8" s="3130" t="s">
        <v>3798</v>
      </c>
      <c r="CL8" s="3130" t="s">
        <v>3799</v>
      </c>
      <c r="CM8" s="3130" t="s">
        <v>3800</v>
      </c>
      <c r="CN8" s="3130" t="s">
        <v>3801</v>
      </c>
      <c r="CO8" s="3130" t="s">
        <v>3802</v>
      </c>
      <c r="CP8" s="3130" t="s">
        <v>4724</v>
      </c>
      <c r="CQ8" s="3132" t="s">
        <v>3915</v>
      </c>
      <c r="CR8" s="3122" t="s">
        <v>421</v>
      </c>
      <c r="CS8" s="3126" t="s">
        <v>4729</v>
      </c>
      <c r="CT8" s="3122" t="s">
        <v>368</v>
      </c>
      <c r="CU8" s="3122" t="s">
        <v>369</v>
      </c>
      <c r="CV8" s="3124" t="s">
        <v>4727</v>
      </c>
      <c r="CW8" s="3124" t="s">
        <v>3916</v>
      </c>
      <c r="CX8" s="3128" t="s">
        <v>2599</v>
      </c>
    </row>
    <row r="9" spans="1:262" s="529" customFormat="1" ht="117" customHeight="1">
      <c r="A9" s="3122"/>
      <c r="B9" s="3122"/>
      <c r="C9" s="3154"/>
      <c r="D9" s="3122"/>
      <c r="E9" s="3126"/>
      <c r="F9" s="3152"/>
      <c r="G9" s="3157"/>
      <c r="H9" s="3122"/>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51"/>
      <c r="BD9" s="3122"/>
      <c r="BE9" s="3138"/>
      <c r="BF9" s="1483" t="s">
        <v>2291</v>
      </c>
      <c r="BG9" s="1483" t="s">
        <v>909</v>
      </c>
      <c r="BH9" s="1483" t="s">
        <v>2296</v>
      </c>
      <c r="BI9" s="1483" t="s">
        <v>910</v>
      </c>
      <c r="BJ9" s="1483" t="s">
        <v>2293</v>
      </c>
      <c r="BK9" s="1483" t="s">
        <v>2119</v>
      </c>
      <c r="BL9" s="1800" t="s">
        <v>2297</v>
      </c>
      <c r="BM9" s="3150"/>
      <c r="BN9" s="1927" t="s">
        <v>344</v>
      </c>
      <c r="BO9" s="3123"/>
      <c r="BP9" s="3123"/>
      <c r="BQ9" s="3148"/>
      <c r="BR9" s="3142"/>
      <c r="BS9" s="3133"/>
      <c r="BT9" s="3125"/>
      <c r="BU9" s="3123"/>
      <c r="BV9" s="3127"/>
      <c r="BW9" s="3125"/>
      <c r="BX9" s="3123"/>
      <c r="BY9" s="3136"/>
      <c r="BZ9" s="3123"/>
      <c r="CA9" s="3123"/>
      <c r="CB9" s="3123"/>
      <c r="CC9" s="3123"/>
      <c r="CD9" s="3140"/>
      <c r="CE9" s="3131"/>
      <c r="CF9" s="3131"/>
      <c r="CG9" s="3131"/>
      <c r="CH9" s="3131"/>
      <c r="CI9" s="3131"/>
      <c r="CJ9" s="3131"/>
      <c r="CK9" s="3131"/>
      <c r="CL9" s="3131"/>
      <c r="CM9" s="3131"/>
      <c r="CN9" s="3131"/>
      <c r="CO9" s="3131"/>
      <c r="CP9" s="3131"/>
      <c r="CQ9" s="3133"/>
      <c r="CR9" s="3123"/>
      <c r="CS9" s="3127"/>
      <c r="CT9" s="3123"/>
      <c r="CU9" s="3123"/>
      <c r="CV9" s="3125"/>
      <c r="CW9" s="3125"/>
      <c r="CX9" s="3129"/>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2" customHeight="1">
      <c r="A11" s="1845" t="s">
        <v>4774</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5" t="s">
        <v>4745</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5" t="s">
        <v>4746</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5" t="s">
        <v>4747</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5" t="s">
        <v>4748</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2" hidden="1" customHeight="1">
      <c r="A23" s="1845" t="s">
        <v>4749</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5" t="s">
        <v>4750</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5" t="s">
        <v>4751</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5" t="s">
        <v>4553</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5" t="s">
        <v>4752</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34">
        <f>D94</f>
        <v>0</v>
      </c>
      <c r="M98" s="3134"/>
      <c r="N98" s="3134"/>
      <c r="O98" s="3134"/>
      <c r="P98" s="3134"/>
      <c r="Q98" s="3134"/>
      <c r="R98" s="3134"/>
      <c r="S98" s="3134"/>
      <c r="T98" s="3134"/>
      <c r="U98" s="3134"/>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3" t="s">
        <v>360</v>
      </c>
      <c r="B101" s="1494"/>
      <c r="C101" s="1504">
        <f>D94</f>
        <v>0</v>
      </c>
      <c r="D101" s="1504">
        <f>D94</f>
        <v>0</v>
      </c>
      <c r="E101" s="1496" t="s">
        <v>1823</v>
      </c>
      <c r="F101" s="1494"/>
      <c r="G101" s="1505"/>
      <c r="H101" s="1498"/>
      <c r="I101" s="1494"/>
      <c r="J101" s="1499">
        <f>B101*1.03</f>
        <v>0</v>
      </c>
      <c r="K101" s="1499"/>
      <c r="L101" s="3134">
        <f>D94</f>
        <v>0</v>
      </c>
      <c r="M101" s="3134"/>
      <c r="N101" s="3134"/>
      <c r="O101" s="3134"/>
      <c r="P101" s="3134"/>
      <c r="Q101" s="3134"/>
      <c r="R101" s="3134"/>
      <c r="S101" s="3134"/>
      <c r="T101" s="3134"/>
      <c r="U101" s="3134"/>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2" t="s">
        <v>3919</v>
      </c>
      <c r="B4" s="3164" t="s">
        <v>3920</v>
      </c>
      <c r="C4" s="3164" t="s">
        <v>3765</v>
      </c>
      <c r="D4" s="3130" t="s">
        <v>2021</v>
      </c>
      <c r="E4" s="3130" t="s">
        <v>507</v>
      </c>
      <c r="F4" s="3130" t="s">
        <v>505</v>
      </c>
      <c r="G4" s="3130" t="s">
        <v>830</v>
      </c>
      <c r="H4" s="3130" t="s">
        <v>506</v>
      </c>
      <c r="I4" s="3130" t="s">
        <v>1149</v>
      </c>
      <c r="J4" s="3130" t="s">
        <v>3773</v>
      </c>
      <c r="K4" s="3130" t="s">
        <v>3906</v>
      </c>
      <c r="L4" s="3176" t="s">
        <v>3921</v>
      </c>
      <c r="M4" s="3178" t="s">
        <v>2277</v>
      </c>
      <c r="N4" s="3143"/>
      <c r="O4" s="3143"/>
      <c r="P4" s="3143"/>
      <c r="Q4" s="3143"/>
      <c r="R4" s="3179" t="s">
        <v>3877</v>
      </c>
      <c r="S4" s="3180"/>
      <c r="T4" s="3180"/>
      <c r="U4" s="3180"/>
      <c r="V4" s="3180"/>
      <c r="W4" s="3180"/>
      <c r="X4" s="3180"/>
      <c r="Y4" s="3180"/>
      <c r="Z4" s="549" t="s">
        <v>2595</v>
      </c>
      <c r="AA4" s="560"/>
      <c r="AB4" s="560"/>
      <c r="AC4" s="561"/>
      <c r="AD4" s="3130" t="s">
        <v>3922</v>
      </c>
      <c r="AE4" s="3130" t="s">
        <v>2384</v>
      </c>
      <c r="AF4" s="3130" t="s">
        <v>2387</v>
      </c>
      <c r="AG4" s="3130" t="s">
        <v>2390</v>
      </c>
      <c r="AH4" s="3130" t="s">
        <v>2391</v>
      </c>
      <c r="AI4" s="3173" t="s">
        <v>3923</v>
      </c>
      <c r="AJ4" s="562" t="s">
        <v>2175</v>
      </c>
      <c r="AK4" s="563"/>
      <c r="AL4" s="3167" t="s">
        <v>3924</v>
      </c>
      <c r="AM4" s="3167" t="s">
        <v>3925</v>
      </c>
      <c r="AN4" s="3167" t="s">
        <v>3926</v>
      </c>
      <c r="AO4" s="3167" t="s">
        <v>3927</v>
      </c>
      <c r="AP4" s="3167" t="s">
        <v>3928</v>
      </c>
      <c r="AQ4" s="3167" t="s">
        <v>3929</v>
      </c>
      <c r="AR4" s="3169" t="s">
        <v>3930</v>
      </c>
      <c r="AS4" s="3170"/>
      <c r="AT4" s="3170"/>
      <c r="AU4" s="3170"/>
      <c r="AV4" s="3170"/>
      <c r="AW4" s="3171"/>
      <c r="AX4" s="3172" t="s">
        <v>3931</v>
      </c>
      <c r="AY4" s="3172"/>
      <c r="AZ4" s="3172"/>
      <c r="BA4" s="3172"/>
      <c r="BB4" s="550" t="s">
        <v>3932</v>
      </c>
      <c r="BC4" s="564"/>
      <c r="BD4" s="550"/>
      <c r="BE4" s="551" t="s">
        <v>2594</v>
      </c>
      <c r="BF4" s="564"/>
      <c r="BG4" s="550"/>
      <c r="BH4" s="3167" t="s">
        <v>3933</v>
      </c>
      <c r="BI4" s="3167" t="s">
        <v>3934</v>
      </c>
      <c r="BJ4" s="3167" t="s">
        <v>3935</v>
      </c>
      <c r="BK4" s="3167" t="s">
        <v>2843</v>
      </c>
      <c r="BL4" s="3164" t="s">
        <v>3936</v>
      </c>
      <c r="BM4" s="3164" t="s">
        <v>3937</v>
      </c>
      <c r="BN4" s="3165" t="s">
        <v>2599</v>
      </c>
    </row>
    <row r="5" spans="1:209" s="529" customFormat="1" ht="142.5" customHeight="1">
      <c r="A5" s="3163"/>
      <c r="B5" s="3122"/>
      <c r="C5" s="3122"/>
      <c r="D5" s="3152"/>
      <c r="E5" s="3152"/>
      <c r="F5" s="3152"/>
      <c r="G5" s="3152"/>
      <c r="H5" s="3152"/>
      <c r="I5" s="3152"/>
      <c r="J5" s="3152"/>
      <c r="K5" s="3152"/>
      <c r="L5" s="3177"/>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52"/>
      <c r="AE5" s="3152"/>
      <c r="AF5" s="3152"/>
      <c r="AG5" s="3152"/>
      <c r="AH5" s="3152"/>
      <c r="AI5" s="3174"/>
      <c r="AJ5" s="553" t="s">
        <v>3942</v>
      </c>
      <c r="AK5" s="553" t="s">
        <v>3943</v>
      </c>
      <c r="AL5" s="3150"/>
      <c r="AM5" s="3150"/>
      <c r="AN5" s="3150"/>
      <c r="AO5" s="3150"/>
      <c r="AP5" s="3150"/>
      <c r="AQ5" s="3150"/>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50"/>
      <c r="BI5" s="3150"/>
      <c r="BJ5" s="3150"/>
      <c r="BK5" s="3150"/>
      <c r="BL5" s="3168"/>
      <c r="BM5" s="3168"/>
      <c r="BN5" s="3166"/>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58" t="s">
        <v>3960</v>
      </c>
      <c r="B35" s="3159"/>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58" t="s">
        <v>3960</v>
      </c>
      <c r="B67" s="3159"/>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0" t="s">
        <v>3902</v>
      </c>
      <c r="B69" s="3161"/>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75" t="s">
        <v>3961</v>
      </c>
      <c r="B71" s="3175"/>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75" t="s">
        <v>3962</v>
      </c>
      <c r="B72" s="3175"/>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75" t="s">
        <v>3963</v>
      </c>
      <c r="B73" s="3175"/>
      <c r="C73" s="628">
        <f>E69</f>
        <v>0</v>
      </c>
      <c r="D73" s="629"/>
      <c r="E73" s="629"/>
      <c r="F73" s="629"/>
      <c r="G73" s="629"/>
      <c r="H73" s="629"/>
      <c r="R73" s="630"/>
      <c r="U73" s="624"/>
      <c r="W73" s="624"/>
      <c r="AE73" s="517"/>
      <c r="AF73" s="517"/>
      <c r="AG73" s="517"/>
      <c r="AH73" s="517"/>
    </row>
    <row r="74" spans="1:209" ht="18.899999999999999" customHeight="1">
      <c r="A74" s="3175" t="s">
        <v>3964</v>
      </c>
      <c r="B74" s="3175"/>
      <c r="C74" s="628">
        <f>F69</f>
        <v>0</v>
      </c>
      <c r="D74" s="629"/>
      <c r="E74" s="629"/>
      <c r="F74" s="629"/>
      <c r="G74" s="629"/>
      <c r="H74" s="629"/>
      <c r="R74" s="630"/>
      <c r="U74" s="624"/>
      <c r="W74" s="624"/>
      <c r="AE74" s="517"/>
      <c r="AF74" s="517"/>
      <c r="AG74" s="517"/>
      <c r="AH74" s="517"/>
    </row>
    <row r="75" spans="1:209" ht="18.899999999999999" customHeight="1">
      <c r="A75" s="3175" t="s">
        <v>3965</v>
      </c>
      <c r="B75" s="3175"/>
      <c r="C75" s="628">
        <f>G69</f>
        <v>0</v>
      </c>
      <c r="D75" s="629"/>
      <c r="E75" s="629"/>
      <c r="F75" s="629"/>
      <c r="G75" s="629"/>
      <c r="H75" s="629"/>
      <c r="R75" s="630"/>
      <c r="U75" s="624"/>
      <c r="W75" s="624"/>
      <c r="AE75" s="517"/>
      <c r="AF75" s="517"/>
      <c r="AG75" s="517"/>
      <c r="AH75" s="517"/>
    </row>
    <row r="76" spans="1:209" ht="18.899999999999999" customHeight="1">
      <c r="A76" s="3175" t="s">
        <v>3966</v>
      </c>
      <c r="B76" s="3175"/>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75" t="s">
        <v>3967</v>
      </c>
      <c r="B77" s="3175"/>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3968</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5009</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4480</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5010</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5011</v>
      </c>
      <c r="D84" s="84" t="s">
        <v>2555</v>
      </c>
      <c r="E84" s="132">
        <v>0</v>
      </c>
      <c r="F84" s="91"/>
      <c r="G84" s="99">
        <f t="shared" si="3"/>
        <v>0</v>
      </c>
      <c r="H84" s="91"/>
      <c r="I84" s="91"/>
      <c r="J84" s="91"/>
    </row>
    <row r="85" spans="1:10" ht="13.8">
      <c r="A85" s="106" t="str">
        <f>chitiet!B2126</f>
        <v>GIP70-70</v>
      </c>
      <c r="B85" s="128" t="str">
        <f>IF(E85=0,"",COUNTIF($E$68:$E85,"&gt;0"))</f>
        <v/>
      </c>
      <c r="C85" s="101" t="s">
        <v>5012</v>
      </c>
      <c r="D85" s="84" t="s">
        <v>2555</v>
      </c>
      <c r="E85" s="132">
        <v>0</v>
      </c>
      <c r="F85" s="91"/>
      <c r="G85" s="99">
        <f>IF(E85&lt;&gt;0,1,0)</f>
        <v>0</v>
      </c>
      <c r="H85" s="91"/>
      <c r="I85" s="91"/>
      <c r="J85" s="91"/>
    </row>
    <row r="86" spans="1:10" s="1" customFormat="1" ht="13.8" hidden="1">
      <c r="A86" s="9" t="str">
        <f>chitiet!B2127</f>
        <v>GIP95-70</v>
      </c>
      <c r="B86" s="28" t="str">
        <f>IF(E86=0,"",COUNTIF($E$68:$E86,"&gt;0"))</f>
        <v/>
      </c>
      <c r="C86" s="16" t="s">
        <v>5013</v>
      </c>
      <c r="D86" s="19" t="s">
        <v>2555</v>
      </c>
      <c r="E86" s="24">
        <v>0</v>
      </c>
      <c r="F86" s="4"/>
      <c r="G86" s="7">
        <f t="shared" si="3"/>
        <v>0</v>
      </c>
      <c r="H86" s="4"/>
      <c r="I86" s="4"/>
      <c r="J86" s="4"/>
    </row>
    <row r="87" spans="1:10" s="1" customFormat="1" ht="13.8" hidden="1">
      <c r="A87" s="9" t="str">
        <f>chitiet!B2128</f>
        <v>GIP150-70</v>
      </c>
      <c r="B87" s="28" t="str">
        <f>IF(E87=0,"",COUNTIF($E$68:$E87,"&gt;0"))</f>
        <v/>
      </c>
      <c r="C87" s="16" t="s">
        <v>5014</v>
      </c>
      <c r="D87" s="19" t="s">
        <v>2555</v>
      </c>
      <c r="E87" s="24">
        <v>0</v>
      </c>
      <c r="F87" s="4"/>
      <c r="G87" s="7">
        <f>IF(E87&lt;&gt;0,1,0)</f>
        <v>0</v>
      </c>
      <c r="H87" s="4"/>
      <c r="I87" s="4"/>
      <c r="J87" s="4"/>
    </row>
    <row r="88" spans="1:10" s="1" customFormat="1" ht="13.8" hidden="1">
      <c r="A88" s="9" t="str">
        <f>chitiet!B2129</f>
        <v>GIP95-150</v>
      </c>
      <c r="B88" s="28" t="str">
        <f>IF(E88=0,"",COUNTIF($E$68:$E88,"&gt;0"))</f>
        <v/>
      </c>
      <c r="C88" s="16" t="s">
        <v>5015</v>
      </c>
      <c r="D88" s="19" t="s">
        <v>2555</v>
      </c>
      <c r="E88" s="24">
        <v>0</v>
      </c>
      <c r="F88" s="4"/>
      <c r="G88" s="7">
        <f t="shared" si="3"/>
        <v>0</v>
      </c>
      <c r="H88" s="4"/>
      <c r="I88" s="4"/>
      <c r="J88" s="4"/>
    </row>
    <row r="89" spans="1:10" s="1" customFormat="1" ht="13.8" hidden="1">
      <c r="A89" s="9" t="str">
        <f>chitiet!B2132</f>
        <v>GIP95-50</v>
      </c>
      <c r="B89" s="28" t="str">
        <f>IF(E89=0,"",COUNTIF($E$68:$E89,"&gt;0"))</f>
        <v/>
      </c>
      <c r="C89" s="16" t="s">
        <v>5016</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5017</v>
      </c>
      <c r="D92" s="19" t="s">
        <v>2555</v>
      </c>
      <c r="E92" s="24">
        <v>0</v>
      </c>
      <c r="F92" s="4"/>
      <c r="G92" s="7">
        <f t="shared" si="3"/>
        <v>0</v>
      </c>
      <c r="H92" s="4"/>
      <c r="I92" s="4"/>
      <c r="J92" s="4"/>
    </row>
    <row r="93" spans="1:10" ht="13.8">
      <c r="A93" s="106" t="str">
        <f>chitiet!B2139</f>
        <v>HOP9C</v>
      </c>
      <c r="B93" s="128" t="str">
        <f>IF(E93=0,"",COUNTIF($E$68:$E93,"&gt;0"))</f>
        <v/>
      </c>
      <c r="C93" s="101" t="s">
        <v>5018</v>
      </c>
      <c r="D93" s="84" t="s">
        <v>2555</v>
      </c>
      <c r="E93" s="132">
        <v>0</v>
      </c>
      <c r="F93" s="91"/>
      <c r="G93" s="99">
        <f t="shared" si="3"/>
        <v>0</v>
      </c>
      <c r="H93" s="91"/>
      <c r="I93" s="91"/>
      <c r="J93" s="91"/>
    </row>
    <row r="94" spans="1:10" s="1" customFormat="1" ht="13.8" hidden="1">
      <c r="A94" s="9" t="str">
        <f>chitiet!B2137</f>
        <v>HOP6C</v>
      </c>
      <c r="B94" s="28" t="str">
        <f>IF(E94=0,"",COUNTIF($E$68:$E94,"&gt;0"))</f>
        <v/>
      </c>
      <c r="C94" s="16" t="s">
        <v>5019</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4871</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4758</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3986</v>
      </c>
      <c r="D109" s="19" t="s">
        <v>2439</v>
      </c>
      <c r="E109" s="24">
        <v>0</v>
      </c>
      <c r="F109" s="4"/>
      <c r="G109" s="7">
        <f t="shared" si="3"/>
        <v>0</v>
      </c>
      <c r="H109" s="4"/>
      <c r="I109" s="4"/>
      <c r="J109" s="4"/>
    </row>
    <row r="110" spans="1:10" s="1" customFormat="1" ht="13.8" hidden="1">
      <c r="A110" s="9" t="str">
        <f>chitiet!B2162</f>
        <v>r3</v>
      </c>
      <c r="B110" s="28" t="str">
        <f>IF(E110=0,"",COUNTIF($E$68:$E110,"&gt;0"))</f>
        <v/>
      </c>
      <c r="C110" s="16" t="s">
        <v>3942</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5000</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5001</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5020</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4977</v>
      </c>
      <c r="D126" s="84" t="s">
        <v>2439</v>
      </c>
      <c r="E126" s="132">
        <v>0</v>
      </c>
      <c r="F126" s="91"/>
      <c r="G126" s="99">
        <f t="shared" si="3"/>
        <v>0</v>
      </c>
      <c r="H126" s="91"/>
      <c r="I126" s="91"/>
      <c r="J126" s="91"/>
    </row>
    <row r="127" spans="1:10" ht="13.8">
      <c r="A127" s="106" t="str">
        <f>chitiet!B2177</f>
        <v>BMoc16250</v>
      </c>
      <c r="B127" s="128" t="str">
        <f>IF(E127=0,"",COUNTIF($E$68:$E127,"&gt;0"))</f>
        <v/>
      </c>
      <c r="C127" s="101" t="s">
        <v>4976</v>
      </c>
      <c r="D127" s="84" t="s">
        <v>2439</v>
      </c>
      <c r="E127" s="132">
        <v>0</v>
      </c>
      <c r="F127" s="91"/>
      <c r="G127" s="99">
        <f t="shared" si="3"/>
        <v>0</v>
      </c>
      <c r="H127" s="91"/>
      <c r="I127" s="91"/>
      <c r="J127" s="91"/>
    </row>
    <row r="128" spans="1:10" ht="13.8" hidden="1">
      <c r="A128" s="106" t="str">
        <f>chitiet!B2178</f>
        <v>BMoc16300</v>
      </c>
      <c r="B128" s="128" t="str">
        <f>IF(E128=0,"",COUNTIF($E$68:$E128,"&gt;0"))</f>
        <v/>
      </c>
      <c r="C128" s="101" t="s">
        <v>4977</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5032</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4999</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2" t="s">
        <v>3919</v>
      </c>
      <c r="B4" s="3164" t="s">
        <v>3970</v>
      </c>
      <c r="C4" s="3164" t="s">
        <v>3765</v>
      </c>
      <c r="D4" s="3130" t="s">
        <v>3971</v>
      </c>
      <c r="E4" s="3130" t="s">
        <v>3972</v>
      </c>
      <c r="F4" s="3130" t="s">
        <v>2021</v>
      </c>
      <c r="G4" s="3130" t="s">
        <v>2202</v>
      </c>
      <c r="H4" s="3130" t="s">
        <v>116</v>
      </c>
      <c r="I4" s="3130" t="s">
        <v>1151</v>
      </c>
      <c r="J4" s="3130" t="s">
        <v>1150</v>
      </c>
      <c r="K4" s="3130" t="s">
        <v>1149</v>
      </c>
      <c r="L4" s="3130" t="s">
        <v>2262</v>
      </c>
      <c r="M4" s="3130" t="s">
        <v>2261</v>
      </c>
      <c r="N4" s="3130" t="s">
        <v>2260</v>
      </c>
      <c r="O4" s="3130" t="s">
        <v>3773</v>
      </c>
      <c r="P4" s="3130" t="s">
        <v>3906</v>
      </c>
      <c r="Q4" s="3176" t="s">
        <v>3775</v>
      </c>
      <c r="R4" s="3178" t="s">
        <v>3973</v>
      </c>
      <c r="S4" s="3143"/>
      <c r="T4" s="3143"/>
      <c r="U4" s="3183"/>
      <c r="V4" s="3179" t="s">
        <v>3877</v>
      </c>
      <c r="W4" s="3180"/>
      <c r="X4" s="3180"/>
      <c r="Y4" s="3180"/>
      <c r="Z4" s="3180"/>
      <c r="AA4" s="3180"/>
      <c r="AB4" s="3180"/>
      <c r="AC4" s="3180"/>
      <c r="AD4" s="3180"/>
      <c r="AE4" s="3180"/>
      <c r="AF4" s="3180"/>
      <c r="AG4" s="3180"/>
      <c r="AH4" s="3180"/>
      <c r="AI4" s="3180"/>
      <c r="AJ4" s="3180"/>
      <c r="AK4" s="3180"/>
      <c r="AL4" s="3180"/>
      <c r="AM4" s="3180"/>
      <c r="AN4" s="3180"/>
      <c r="AO4" s="3180"/>
      <c r="AP4" s="3180"/>
      <c r="AQ4" s="3180"/>
      <c r="AR4" s="3180"/>
      <c r="AS4" s="3180"/>
      <c r="AT4" s="3180"/>
      <c r="AU4" s="3184"/>
      <c r="AV4" s="648"/>
      <c r="AW4" s="511" t="s">
        <v>3974</v>
      </c>
      <c r="AX4" s="648"/>
      <c r="AY4" s="648"/>
      <c r="AZ4" s="648"/>
      <c r="BA4" s="528"/>
      <c r="BB4" s="648"/>
      <c r="BC4" s="528"/>
      <c r="BD4" s="648"/>
      <c r="BE4" s="648"/>
      <c r="BF4" s="636" t="s">
        <v>3880</v>
      </c>
      <c r="BG4" s="648"/>
      <c r="BH4" s="648"/>
      <c r="BI4" s="648"/>
      <c r="BJ4" s="648"/>
      <c r="BK4" s="648"/>
      <c r="BL4" s="648"/>
      <c r="BM4" s="648"/>
      <c r="BN4" s="648"/>
      <c r="BO4" s="648"/>
      <c r="BP4" s="3130" t="s">
        <v>2384</v>
      </c>
      <c r="BQ4" s="3130" t="s">
        <v>2389</v>
      </c>
      <c r="BR4" s="3130" t="s">
        <v>2388</v>
      </c>
      <c r="BS4" s="3130" t="s">
        <v>2387</v>
      </c>
      <c r="BT4" s="3130" t="s">
        <v>3975</v>
      </c>
      <c r="BU4" s="3130" t="s">
        <v>3976</v>
      </c>
      <c r="BV4" s="3173" t="s">
        <v>3923</v>
      </c>
      <c r="BW4" s="562" t="s">
        <v>3977</v>
      </c>
      <c r="BX4" s="649"/>
      <c r="BY4" s="649"/>
      <c r="BZ4" s="563"/>
      <c r="CA4" s="3181" t="s">
        <v>3978</v>
      </c>
      <c r="CB4" s="3181" t="s">
        <v>3925</v>
      </c>
      <c r="CC4" s="3186" t="s">
        <v>3930</v>
      </c>
      <c r="CD4" s="3187"/>
      <c r="CE4" s="3187"/>
      <c r="CF4" s="3187"/>
      <c r="CG4" s="3187"/>
      <c r="CH4" s="3187"/>
      <c r="CI4" s="3187"/>
      <c r="CJ4" s="3187"/>
      <c r="CK4" s="3187"/>
      <c r="CL4" s="650" t="s">
        <v>475</v>
      </c>
      <c r="CM4" s="651"/>
      <c r="CN4" s="3167" t="s">
        <v>3979</v>
      </c>
      <c r="CO4" s="3167" t="s">
        <v>3933</v>
      </c>
      <c r="CP4" s="3167" t="s">
        <v>3934</v>
      </c>
      <c r="CQ4" s="3167" t="s">
        <v>3935</v>
      </c>
      <c r="CR4" s="3167" t="s">
        <v>2843</v>
      </c>
      <c r="CS4" s="3164" t="s">
        <v>3936</v>
      </c>
      <c r="CT4" s="3164" t="s">
        <v>3980</v>
      </c>
      <c r="CU4" s="3164" t="s">
        <v>3397</v>
      </c>
      <c r="CV4" s="3164" t="s">
        <v>3981</v>
      </c>
      <c r="CW4" s="3164" t="s">
        <v>3982</v>
      </c>
      <c r="CX4" s="3185" t="s">
        <v>3983</v>
      </c>
      <c r="CY4" s="3165" t="s">
        <v>2599</v>
      </c>
    </row>
    <row r="5" spans="1:234" s="529" customFormat="1" ht="142.5" customHeight="1">
      <c r="A5" s="3163"/>
      <c r="B5" s="3122"/>
      <c r="C5" s="3122"/>
      <c r="D5" s="3152"/>
      <c r="E5" s="3152"/>
      <c r="F5" s="3152"/>
      <c r="G5" s="3152"/>
      <c r="H5" s="3152"/>
      <c r="I5" s="3152"/>
      <c r="J5" s="3152"/>
      <c r="K5" s="3152"/>
      <c r="L5" s="3152"/>
      <c r="M5" s="3152"/>
      <c r="N5" s="3152"/>
      <c r="O5" s="3152"/>
      <c r="P5" s="3152"/>
      <c r="Q5" s="3177"/>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52"/>
      <c r="BQ5" s="3152"/>
      <c r="BR5" s="3152"/>
      <c r="BS5" s="3152"/>
      <c r="BT5" s="3152"/>
      <c r="BU5" s="3152"/>
      <c r="BV5" s="3174"/>
      <c r="BW5" s="553" t="s">
        <v>3985</v>
      </c>
      <c r="BX5" s="553" t="s">
        <v>3986</v>
      </c>
      <c r="BY5" s="553" t="s">
        <v>2034</v>
      </c>
      <c r="BZ5" s="553" t="s">
        <v>1447</v>
      </c>
      <c r="CA5" s="3182"/>
      <c r="CB5" s="3182"/>
      <c r="CC5" s="554" t="s">
        <v>3944</v>
      </c>
      <c r="CD5" s="554" t="s">
        <v>3987</v>
      </c>
      <c r="CE5" s="554" t="s">
        <v>3945</v>
      </c>
      <c r="CF5" s="554" t="s">
        <v>3988</v>
      </c>
      <c r="CG5" s="554" t="s">
        <v>3989</v>
      </c>
      <c r="CH5" s="554" t="s">
        <v>3946</v>
      </c>
      <c r="CI5" s="554" t="s">
        <v>3947</v>
      </c>
      <c r="CJ5" s="554" t="s">
        <v>3990</v>
      </c>
      <c r="CK5" s="554" t="s">
        <v>3991</v>
      </c>
      <c r="CL5" s="554" t="s">
        <v>3992</v>
      </c>
      <c r="CM5" s="554" t="s">
        <v>3993</v>
      </c>
      <c r="CN5" s="3150"/>
      <c r="CO5" s="3150"/>
      <c r="CP5" s="3150"/>
      <c r="CQ5" s="3150"/>
      <c r="CR5" s="3150"/>
      <c r="CS5" s="3168"/>
      <c r="CT5" s="3168"/>
      <c r="CU5" s="3168"/>
      <c r="CV5" s="3168"/>
      <c r="CW5" s="3168"/>
      <c r="CX5" s="3129"/>
      <c r="CY5" s="3166"/>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75" t="s">
        <v>3961</v>
      </c>
      <c r="B316" s="3175"/>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75" t="s">
        <v>4039</v>
      </c>
      <c r="B317" s="3175"/>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75" t="s">
        <v>3963</v>
      </c>
      <c r="B318" s="3175"/>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75" t="s">
        <v>4040</v>
      </c>
      <c r="B319" s="3175"/>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75" t="s">
        <v>4041</v>
      </c>
      <c r="B320" s="3175"/>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75" t="s">
        <v>3967</v>
      </c>
      <c r="B321" s="3175"/>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4043</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3" t="s">
        <v>3919</v>
      </c>
      <c r="B4" s="3195" t="s">
        <v>3970</v>
      </c>
      <c r="C4" s="3195" t="s">
        <v>3765</v>
      </c>
      <c r="D4" s="3188" t="s">
        <v>1034</v>
      </c>
      <c r="E4" s="3188" t="s">
        <v>187</v>
      </c>
      <c r="F4" s="3188" t="s">
        <v>2021</v>
      </c>
      <c r="G4" s="3188" t="s">
        <v>2202</v>
      </c>
      <c r="H4" s="3188" t="s">
        <v>116</v>
      </c>
      <c r="I4" s="3188" t="s">
        <v>1151</v>
      </c>
      <c r="J4" s="3188" t="s">
        <v>1150</v>
      </c>
      <c r="K4" s="3188" t="s">
        <v>1149</v>
      </c>
      <c r="L4" s="3188" t="s">
        <v>2262</v>
      </c>
      <c r="M4" s="3188" t="s">
        <v>2261</v>
      </c>
      <c r="N4" s="3188" t="s">
        <v>2260</v>
      </c>
      <c r="O4" s="3188" t="s">
        <v>3773</v>
      </c>
      <c r="P4" s="3188" t="s">
        <v>3906</v>
      </c>
      <c r="Q4" s="3188" t="s">
        <v>3775</v>
      </c>
      <c r="R4" s="3190" t="s">
        <v>3973</v>
      </c>
      <c r="S4" s="3191"/>
      <c r="T4" s="3191"/>
      <c r="U4" s="3191"/>
      <c r="V4" s="3192"/>
      <c r="W4" s="3190" t="s">
        <v>3877</v>
      </c>
      <c r="X4" s="3191"/>
      <c r="Y4" s="3191"/>
      <c r="Z4" s="3191"/>
      <c r="AA4" s="3191"/>
      <c r="AB4" s="3191"/>
      <c r="AC4" s="3191"/>
      <c r="AD4" s="3191"/>
      <c r="AE4" s="3191"/>
      <c r="AF4" s="3191"/>
      <c r="AG4" s="3191"/>
      <c r="AH4" s="3191"/>
      <c r="AI4" s="3191"/>
      <c r="AJ4" s="3191"/>
      <c r="AK4" s="3191"/>
      <c r="AL4" s="3191"/>
      <c r="AM4" s="3191"/>
      <c r="AN4" s="3191"/>
      <c r="AO4" s="3191"/>
      <c r="AP4" s="3191"/>
      <c r="AQ4" s="3191"/>
      <c r="AR4" s="3191"/>
      <c r="AS4" s="3191"/>
      <c r="AT4" s="3191"/>
      <c r="AU4" s="3191"/>
      <c r="AV4" s="3192"/>
      <c r="AW4" s="905"/>
      <c r="AX4" s="908" t="s">
        <v>3777</v>
      </c>
      <c r="AY4" s="905"/>
      <c r="AZ4" s="905"/>
      <c r="BA4" s="905"/>
      <c r="BB4" s="905"/>
      <c r="BC4" s="905"/>
      <c r="BD4" s="905"/>
      <c r="BE4" s="905"/>
      <c r="BF4" s="905"/>
      <c r="BG4" s="905" t="s">
        <v>3880</v>
      </c>
      <c r="BH4" s="636"/>
      <c r="BI4" s="636"/>
      <c r="BJ4" s="636"/>
      <c r="BK4" s="636"/>
      <c r="BL4" s="636"/>
      <c r="BM4" s="636"/>
      <c r="BN4" s="636"/>
      <c r="BO4" s="636"/>
      <c r="BP4" s="636"/>
      <c r="BQ4" s="3188" t="s">
        <v>2384</v>
      </c>
      <c r="BR4" s="3188" t="s">
        <v>2389</v>
      </c>
      <c r="BS4" s="3188" t="s">
        <v>4548</v>
      </c>
      <c r="BT4" s="3188" t="s">
        <v>2384</v>
      </c>
      <c r="BU4" s="3188" t="s">
        <v>2390</v>
      </c>
      <c r="BV4" s="3188" t="s">
        <v>2391</v>
      </c>
      <c r="BW4" s="3195" t="s">
        <v>3923</v>
      </c>
      <c r="BX4" s="549" t="s">
        <v>2175</v>
      </c>
      <c r="BY4" s="560"/>
      <c r="BZ4" s="560"/>
      <c r="CA4" s="561"/>
      <c r="CB4" s="3200" t="s">
        <v>3978</v>
      </c>
      <c r="CC4" s="3200" t="s">
        <v>3925</v>
      </c>
      <c r="CD4" s="3200" t="s">
        <v>3926</v>
      </c>
      <c r="CE4" s="3200" t="s">
        <v>3927</v>
      </c>
      <c r="CF4" s="3200" t="s">
        <v>3928</v>
      </c>
      <c r="CG4" s="3200" t="s">
        <v>4045</v>
      </c>
      <c r="CH4" s="3197" t="s">
        <v>3930</v>
      </c>
      <c r="CI4" s="3198"/>
      <c r="CJ4" s="3198"/>
      <c r="CK4" s="3198"/>
      <c r="CL4" s="3198"/>
      <c r="CM4" s="3198"/>
      <c r="CN4" s="3198"/>
      <c r="CO4" s="3198"/>
      <c r="CP4" s="3198"/>
      <c r="CQ4" s="3198"/>
      <c r="CR4" s="3198"/>
      <c r="CS4" s="3198"/>
      <c r="CT4" s="3198"/>
      <c r="CU4" s="3199"/>
      <c r="CV4" s="3197" t="s">
        <v>3931</v>
      </c>
      <c r="CW4" s="3198"/>
      <c r="CX4" s="3198"/>
      <c r="CY4" s="3198"/>
      <c r="CZ4" s="3199"/>
      <c r="DA4" s="3197" t="s">
        <v>3932</v>
      </c>
      <c r="DB4" s="3198"/>
      <c r="DC4" s="3198"/>
      <c r="DD4" s="3199"/>
      <c r="DE4" s="3197" t="s">
        <v>2594</v>
      </c>
      <c r="DF4" s="3198"/>
      <c r="DG4" s="3198"/>
      <c r="DH4" s="3199"/>
      <c r="DI4" s="3197" t="s">
        <v>475</v>
      </c>
      <c r="DJ4" s="3199"/>
      <c r="DK4" s="3200" t="s">
        <v>3979</v>
      </c>
      <c r="DL4" s="3200" t="s">
        <v>3933</v>
      </c>
      <c r="DM4" s="3200" t="s">
        <v>3934</v>
      </c>
      <c r="DN4" s="3200" t="s">
        <v>3935</v>
      </c>
      <c r="DO4" s="3200" t="s">
        <v>2843</v>
      </c>
      <c r="DP4" s="3195" t="s">
        <v>4046</v>
      </c>
      <c r="DQ4" s="3195" t="s">
        <v>4545</v>
      </c>
      <c r="DR4" s="3195" t="s">
        <v>4546</v>
      </c>
      <c r="DS4" s="3195" t="s">
        <v>4547</v>
      </c>
      <c r="DT4" s="3195" t="s">
        <v>3982</v>
      </c>
      <c r="DU4" s="3195" t="s">
        <v>4127</v>
      </c>
      <c r="DV4" s="3193" t="s">
        <v>2599</v>
      </c>
    </row>
    <row r="5" spans="1:256" s="529" customFormat="1" ht="100.2">
      <c r="A5" s="3204"/>
      <c r="B5" s="3205"/>
      <c r="C5" s="3205"/>
      <c r="D5" s="3189"/>
      <c r="E5" s="3189"/>
      <c r="F5" s="3189"/>
      <c r="G5" s="3189"/>
      <c r="H5" s="3189"/>
      <c r="I5" s="3189"/>
      <c r="J5" s="3189"/>
      <c r="K5" s="3189"/>
      <c r="L5" s="3189"/>
      <c r="M5" s="3189"/>
      <c r="N5" s="3189"/>
      <c r="O5" s="3189"/>
      <c r="P5" s="3189"/>
      <c r="Q5" s="3189"/>
      <c r="R5" s="788" t="s">
        <v>301</v>
      </c>
      <c r="S5" s="788" t="s">
        <v>232</v>
      </c>
      <c r="T5" s="788" t="s">
        <v>185</v>
      </c>
      <c r="U5" s="788" t="s">
        <v>300</v>
      </c>
      <c r="V5" s="906" t="s">
        <v>4317</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89"/>
      <c r="BR5" s="3189"/>
      <c r="BS5" s="3189"/>
      <c r="BT5" s="3189"/>
      <c r="BU5" s="3189"/>
      <c r="BV5" s="3189"/>
      <c r="BW5" s="3196"/>
      <c r="BX5" s="788" t="s">
        <v>3985</v>
      </c>
      <c r="BY5" s="788" t="s">
        <v>3986</v>
      </c>
      <c r="BZ5" s="788" t="s">
        <v>3942</v>
      </c>
      <c r="CA5" s="788" t="s">
        <v>4543</v>
      </c>
      <c r="CB5" s="3201"/>
      <c r="CC5" s="3201"/>
      <c r="CD5" s="3201"/>
      <c r="CE5" s="3201"/>
      <c r="CF5" s="3201"/>
      <c r="CG5" s="3201"/>
      <c r="CH5" s="777" t="s">
        <v>3944</v>
      </c>
      <c r="CI5" s="777" t="s">
        <v>3949</v>
      </c>
      <c r="CJ5" s="777" t="s">
        <v>3945</v>
      </c>
      <c r="CK5" s="777" t="s">
        <v>3988</v>
      </c>
      <c r="CL5" s="777" t="s">
        <v>3989</v>
      </c>
      <c r="CM5" s="777" t="s">
        <v>4318</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4544</v>
      </c>
      <c r="DK5" s="3201"/>
      <c r="DL5" s="3201"/>
      <c r="DM5" s="3201"/>
      <c r="DN5" s="3201"/>
      <c r="DO5" s="3201"/>
      <c r="DP5" s="3196"/>
      <c r="DQ5" s="3196"/>
      <c r="DR5" s="3196"/>
      <c r="DS5" s="3196"/>
      <c r="DT5" s="3196"/>
      <c r="DU5" s="3196"/>
      <c r="DV5" s="3194"/>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4748</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3.8">
      <c r="A9" s="1538" t="s">
        <v>4880</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3.8">
      <c r="A10" s="1538" t="s">
        <v>4881</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3.8">
      <c r="A11" s="1538" t="s">
        <v>4882</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3.8">
      <c r="A12" s="1538" t="s">
        <v>4883</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3.8">
      <c r="A13" s="1538" t="s">
        <v>4884</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3.8">
      <c r="A14" s="1538" t="s">
        <v>4885</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3.8">
      <c r="A15" s="1538" t="s">
        <v>4886</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3.8">
      <c r="A16" s="1538" t="s">
        <v>4887</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3.8">
      <c r="A17" s="1538" t="s">
        <v>4888</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3.8">
      <c r="A18" s="1538" t="s">
        <v>4889</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3.8">
      <c r="A19" s="1538" t="s">
        <v>4890</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3.8">
      <c r="A20" s="1538" t="s">
        <v>4891</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3.8">
      <c r="A21" s="1538" t="s">
        <v>4892</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3.8">
      <c r="A22" s="1538" t="s">
        <v>4893</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8" t="s">
        <v>4894</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8" t="s">
        <v>4895</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3.8">
      <c r="A25" s="1538" t="s">
        <v>4896</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3.8"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3.8"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3.8"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3.8"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3.8"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3.8"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3.8"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3.8"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3.8"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3.8"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3.8"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3.8"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3.8"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3.8"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3.8"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3.8"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3.8"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3.8"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3.8"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3.8"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3.8"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3.8"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3.8"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3.8"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3.8"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3.8"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3.8"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3.8"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3.8"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3.8"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3.8"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3.8"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3.8"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3.8"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3.8"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3.8"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3.8"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3.8"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3.8"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3.8"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3.8"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3.8"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3.8"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3.8"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3.8"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3.8"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3.8"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3.8"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3.8"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3.8"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3.8"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3.8"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3.8"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3.8"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3.8"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3.8"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3.8"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3.8"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3.8"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3.8"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3.8"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3.8"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3.8"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3.8"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3.8"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3.8"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3.8"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3.8"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3.8"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3.8"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3.8"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3.8"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3.8"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3.8"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3.8"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3.8"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3.8"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3.8"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3.8"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3.8"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3.8"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3.8"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3.8"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3.8"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3.8"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3.8"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3.8"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3.8"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3.8"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3.8"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3.8"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3.8"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3.8"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3.8"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3.8"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3.8"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3.8"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3.8"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3.8"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3.8"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3.8"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3.8"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3.8"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3.8"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3.8"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3.8"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3.8"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3.8"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3.8"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3.8"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3.8"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3.8"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3.8"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3.8"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5"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02" t="s">
        <v>4129</v>
      </c>
      <c r="B343" s="3202"/>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02" t="s">
        <v>4130</v>
      </c>
      <c r="B344" s="3202"/>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02" t="s">
        <v>4131</v>
      </c>
      <c r="B345" s="3202"/>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02" t="s">
        <v>4132</v>
      </c>
      <c r="B346" s="3202"/>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02" t="s">
        <v>4133</v>
      </c>
      <c r="B347" s="3202"/>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02" t="s">
        <v>4134</v>
      </c>
      <c r="B348" s="3202"/>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4136</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AJ487"/>
  <sheetViews>
    <sheetView showZeros="0" tabSelected="1" topLeftCell="A136" zoomScale="85" zoomScaleNormal="85" workbookViewId="0">
      <selection activeCell="AF148" sqref="AF148"/>
    </sheetView>
  </sheetViews>
  <sheetFormatPr defaultColWidth="4.54296875" defaultRowHeight="25.2" customHeight="1" outlineLevelRow="2"/>
  <cols>
    <col min="1" max="2" width="5.453125" style="3009" customWidth="1"/>
    <col min="3" max="10" width="5.453125" style="3012" customWidth="1"/>
    <col min="11" max="12" width="5.453125" style="3013" customWidth="1"/>
    <col min="13" max="19" width="5.453125" style="3012" customWidth="1"/>
    <col min="20" max="21" width="5.453125" style="3014" customWidth="1"/>
    <col min="22" max="25" width="5.453125" style="3010" customWidth="1"/>
    <col min="26" max="26" width="5.453125" style="3011" customWidth="1"/>
    <col min="27" max="33" width="5.453125" style="3010" customWidth="1"/>
    <col min="34" max="34" width="4.54296875" style="3011"/>
    <col min="35" max="16384" width="4.54296875" style="52"/>
  </cols>
  <sheetData>
    <row r="1" spans="1:36" ht="33.75" hidden="1" customHeight="1" outlineLevel="2">
      <c r="A1" s="3008" t="str">
        <f>VLOOKUP(A9,BKT!$D:$H,5,)</f>
        <v/>
      </c>
      <c r="B1" s="3008" t="str">
        <f>VLOOKUP(B9,BKT!$D:$H,5,)</f>
        <v/>
      </c>
      <c r="C1" s="3008" t="str">
        <f>VLOOKUP(C9,BKT!$D:$H,5,)</f>
        <v/>
      </c>
      <c r="D1" s="3008" t="str">
        <f>VLOOKUP(D9,BKT!$D:$H,5,)</f>
        <v/>
      </c>
      <c r="E1" s="3008" t="str">
        <f>VLOOKUP(E9,BKT!$D:$H,5,)</f>
        <v/>
      </c>
      <c r="F1" s="3008" t="str">
        <f>VLOOKUP(F9,BKT!$D:$H,5,)</f>
        <v/>
      </c>
      <c r="G1" s="3008" t="str">
        <f>VLOOKUP(G9,BKT!$D:$H,5,)</f>
        <v>ABC4x120</v>
      </c>
      <c r="H1" s="3008" t="str">
        <f>VLOOKUP(H9,BKT!$D:$H,5,)</f>
        <v>M8</v>
      </c>
      <c r="I1" s="3008" t="str">
        <f>VLOOKUP(I9,BKT!$D:$H,5,)</f>
        <v>M8BT Đôi</v>
      </c>
      <c r="J1" s="3008" t="str">
        <f>VLOOKUP(J9,BKT!$D:$H,5,)</f>
        <v>M12</v>
      </c>
      <c r="K1" s="3008" t="str">
        <f>VLOOKUP(K9,BKT!$D:$H,5,)</f>
        <v>M12BT ĐƠN</v>
      </c>
      <c r="L1" s="3008" t="str">
        <f>VLOOKUP(L9,BKT!$D:$H,5,)</f>
        <v>M12BT ĐÔI</v>
      </c>
      <c r="M1" s="3008" t="str">
        <f>VLOOKUP(M9,BKT!$D:$H,5,)</f>
        <v>TDLL84</v>
      </c>
      <c r="N1" s="3008" t="str">
        <f>VLOOKUP(N9,BKT!$D:$H,5,)</f>
        <v>TDTT12</v>
      </c>
      <c r="O1" s="3008" t="str">
        <f>VLOOKUP(O9,BKT!$D:$H,5,)</f>
        <v>GIP95-25</v>
      </c>
      <c r="P1" s="3008" t="str">
        <f>VLOOKUP(P9,BKT!$D:$H,5,)</f>
        <v>ttf-150</v>
      </c>
      <c r="Q1" s="3008" t="str">
        <f>VLOOKUP(Q9,BKT!$D:$H,5,)</f>
        <v>TLSD24</v>
      </c>
      <c r="R1" s="3008" t="str">
        <f>VLOOKUP(R9,BKT!$D:$H,5,)</f>
        <v>TLSD04</v>
      </c>
      <c r="S1" s="3008" t="str">
        <f>VLOOKUP(S9,BKT!$D:$H,5,)</f>
        <v>TCH2x16</v>
      </c>
      <c r="T1" s="3008" t="str">
        <f>VLOOKUP(T9,BKT!$D:$H,5,)</f>
        <v>Duplex 216</v>
      </c>
      <c r="U1" s="3008" t="str">
        <f>VLOOKUP(U9,BKT!$D:$H,5,)</f>
        <v>TL x-25</v>
      </c>
      <c r="V1" s="3008" t="str">
        <f>VLOOKUP(V9,BKT!$D:$H,5,)</f>
        <v>TL x-100</v>
      </c>
      <c r="W1" s="3008" t="str">
        <f>VLOOKUP(W9,BKT!$D:$H,5,)</f>
        <v>TL LA</v>
      </c>
      <c r="X1" s="3008" t="str">
        <f>VLOOKUP(X9,BKT!$D:$H,5,)</f>
        <v>tl dk1</v>
      </c>
      <c r="Y1" s="3008" t="str">
        <f>VLOOKUP(Y9,BKT!$D:$H,5,)</f>
        <v>tl hoppp</v>
      </c>
      <c r="Z1" s="3008" t="str">
        <f>VLOOKUP(Z9,BKT!$D:$H,5,)</f>
        <v>N-T-BTLT 8.4</v>
      </c>
      <c r="AA1" s="3008" t="str">
        <f>VLOOKUP(AA9,BKT!$D:$H,5,)</f>
        <v>N-T-BTLT 12</v>
      </c>
      <c r="AB1" s="3008" t="str">
        <f>VLOOKUP(AB9,BKT!$D:$H,5,)</f>
        <v>TL MBA1-50</v>
      </c>
      <c r="AC1" s="3008" t="str">
        <f>VLOOKUP(AC9,BKT!$D:$H,5,)</f>
        <v>TL CV95</v>
      </c>
      <c r="AD1" s="3008" t="str">
        <f>VLOOKUP(AD9,BKT!$D:$H,5,)</f>
        <v>TL CV120</v>
      </c>
      <c r="AE1" s="3008" t="str">
        <f>VLOOKUP(AE9,BKT!$D:$H,5,)</f>
        <v>TL mccb-300</v>
      </c>
      <c r="AF1" s="3008" t="str">
        <f>VLOOKUP(AF9,BKT!$D:$H,5,)</f>
        <v>TL FCO</v>
      </c>
      <c r="AG1" s="3008" t="str">
        <f>VLOOKUP(AG9,BKT!$D:$H,5,)</f>
        <v>TL Tu3P</v>
      </c>
      <c r="AH1" s="3008">
        <f>VLOOKUP(AH9,BKT!$D:$H,5,)</f>
        <v>0</v>
      </c>
      <c r="AI1" s="52" t="s">
        <v>1239</v>
      </c>
      <c r="AJ1" s="52" t="s">
        <v>88</v>
      </c>
    </row>
    <row r="2" spans="1:36" ht="25.2" hidden="1" customHeight="1" outlineLevel="2">
      <c r="A2" s="3009" t="s">
        <v>4376</v>
      </c>
      <c r="B2" s="3009">
        <f t="shared" ref="B2:AH2" si="0">B140</f>
        <v>0</v>
      </c>
      <c r="C2" s="3010">
        <f t="shared" si="0"/>
        <v>0</v>
      </c>
      <c r="D2" s="3010">
        <f t="shared" si="0"/>
        <v>4065.2</v>
      </c>
      <c r="E2" s="3010">
        <f t="shared" si="0"/>
        <v>0</v>
      </c>
      <c r="F2" s="3010">
        <f t="shared" si="0"/>
        <v>0</v>
      </c>
      <c r="G2" s="3010">
        <f t="shared" si="0"/>
        <v>0</v>
      </c>
      <c r="H2" s="3010">
        <f t="shared" ref="H2:I2" si="1">H140</f>
        <v>1</v>
      </c>
      <c r="I2" s="3010">
        <f t="shared" si="1"/>
        <v>1</v>
      </c>
      <c r="J2" s="3010">
        <f t="shared" si="0"/>
        <v>8</v>
      </c>
      <c r="K2" s="3010">
        <f t="shared" si="0"/>
        <v>1</v>
      </c>
      <c r="L2" s="3010">
        <f t="shared" si="0"/>
        <v>2</v>
      </c>
      <c r="M2" s="3010">
        <f t="shared" si="0"/>
        <v>17</v>
      </c>
      <c r="N2" s="3010">
        <f t="shared" si="0"/>
        <v>1</v>
      </c>
      <c r="O2" s="3010">
        <f t="shared" si="0"/>
        <v>216</v>
      </c>
      <c r="P2" s="3010">
        <f t="shared" si="0"/>
        <v>3</v>
      </c>
      <c r="Q2" s="3010">
        <f t="shared" si="0"/>
        <v>3</v>
      </c>
      <c r="R2" s="3010">
        <f t="shared" si="0"/>
        <v>12</v>
      </c>
      <c r="S2" s="3010">
        <f t="shared" si="0"/>
        <v>216</v>
      </c>
      <c r="T2" s="3010">
        <f t="shared" si="0"/>
        <v>272</v>
      </c>
      <c r="U2" s="3010">
        <f t="shared" si="0"/>
        <v>23</v>
      </c>
      <c r="V2" s="3010">
        <f t="shared" ref="V2" si="2">V140</f>
        <v>3</v>
      </c>
      <c r="W2" s="3010">
        <f t="shared" si="0"/>
        <v>1</v>
      </c>
      <c r="X2" s="3010">
        <f t="shared" ref="X2" si="3">X140</f>
        <v>106</v>
      </c>
      <c r="Y2" s="3010">
        <f t="shared" si="0"/>
        <v>29</v>
      </c>
      <c r="Z2" s="3010">
        <f t="shared" si="0"/>
        <v>33</v>
      </c>
      <c r="AA2" s="3010">
        <f t="shared" si="0"/>
        <v>23</v>
      </c>
      <c r="AB2" s="3010">
        <f t="shared" si="0"/>
        <v>3</v>
      </c>
      <c r="AC2" s="3010">
        <f t="shared" si="0"/>
        <v>48</v>
      </c>
      <c r="AD2" s="3010">
        <f t="shared" si="0"/>
        <v>30</v>
      </c>
      <c r="AE2" s="3010">
        <f t="shared" si="0"/>
        <v>1</v>
      </c>
      <c r="AF2" s="3010">
        <f t="shared" si="0"/>
        <v>3</v>
      </c>
      <c r="AG2" s="3010">
        <f t="shared" si="0"/>
        <v>1</v>
      </c>
      <c r="AH2" s="3010">
        <f t="shared" si="0"/>
        <v>0</v>
      </c>
      <c r="AI2" s="3011">
        <f>E2</f>
        <v>0</v>
      </c>
      <c r="AJ2" s="3011">
        <f>F2</f>
        <v>0</v>
      </c>
    </row>
    <row r="3" spans="1:36" ht="25.2" hidden="1" customHeight="1" outlineLevel="2">
      <c r="A3" s="3009" t="s">
        <v>4169</v>
      </c>
      <c r="B3" s="3009">
        <f t="shared" ref="B3:AG3" si="4">B2</f>
        <v>0</v>
      </c>
      <c r="C3" s="3010">
        <f t="shared" si="4"/>
        <v>0</v>
      </c>
      <c r="D3" s="3010">
        <f t="shared" si="4"/>
        <v>4065.2</v>
      </c>
      <c r="E3" s="3010">
        <f t="shared" si="4"/>
        <v>0</v>
      </c>
      <c r="F3" s="3010">
        <f t="shared" si="4"/>
        <v>0</v>
      </c>
      <c r="G3" s="3010">
        <f t="shared" si="4"/>
        <v>0</v>
      </c>
      <c r="H3" s="3010">
        <f t="shared" ref="H3:I3" si="5">H2</f>
        <v>1</v>
      </c>
      <c r="I3" s="3010">
        <f t="shared" si="5"/>
        <v>1</v>
      </c>
      <c r="J3" s="3010">
        <f t="shared" si="4"/>
        <v>8</v>
      </c>
      <c r="K3" s="3010">
        <f t="shared" si="4"/>
        <v>1</v>
      </c>
      <c r="L3" s="3010">
        <f t="shared" si="4"/>
        <v>2</v>
      </c>
      <c r="M3" s="3010">
        <f t="shared" si="4"/>
        <v>17</v>
      </c>
      <c r="N3" s="3010">
        <f t="shared" si="4"/>
        <v>1</v>
      </c>
      <c r="O3" s="3010">
        <f t="shared" si="4"/>
        <v>216</v>
      </c>
      <c r="P3" s="3010">
        <f t="shared" si="4"/>
        <v>3</v>
      </c>
      <c r="Q3" s="3010">
        <f t="shared" si="4"/>
        <v>3</v>
      </c>
      <c r="R3" s="3010">
        <f t="shared" si="4"/>
        <v>12</v>
      </c>
      <c r="S3" s="3010">
        <f t="shared" si="4"/>
        <v>216</v>
      </c>
      <c r="T3" s="3010">
        <f t="shared" si="4"/>
        <v>272</v>
      </c>
      <c r="U3" s="3010">
        <f t="shared" si="4"/>
        <v>23</v>
      </c>
      <c r="V3" s="3010">
        <f t="shared" ref="V3" si="6">V2</f>
        <v>3</v>
      </c>
      <c r="W3" s="3010">
        <f t="shared" si="4"/>
        <v>1</v>
      </c>
      <c r="X3" s="3010">
        <f t="shared" ref="X3" si="7">X2</f>
        <v>106</v>
      </c>
      <c r="Y3" s="3010">
        <f t="shared" si="4"/>
        <v>29</v>
      </c>
      <c r="Z3" s="3010">
        <f t="shared" si="4"/>
        <v>33</v>
      </c>
      <c r="AA3" s="3010">
        <f t="shared" si="4"/>
        <v>23</v>
      </c>
      <c r="AB3" s="3010">
        <f t="shared" si="4"/>
        <v>3</v>
      </c>
      <c r="AC3" s="3010">
        <f t="shared" si="4"/>
        <v>48</v>
      </c>
      <c r="AD3" s="3010">
        <f t="shared" si="4"/>
        <v>30</v>
      </c>
      <c r="AE3" s="3010">
        <f t="shared" si="4"/>
        <v>1</v>
      </c>
      <c r="AF3" s="3010">
        <f t="shared" si="4"/>
        <v>3</v>
      </c>
      <c r="AG3" s="3010">
        <f t="shared" si="4"/>
        <v>1</v>
      </c>
      <c r="AH3" s="3010">
        <f t="shared" ref="AH3" si="8">AH2</f>
        <v>0</v>
      </c>
      <c r="AI3" s="3010">
        <f t="shared" ref="AI3" si="9">AI2</f>
        <v>0</v>
      </c>
      <c r="AJ3" s="3010">
        <f t="shared" ref="AJ3" si="10">AJ2</f>
        <v>0</v>
      </c>
    </row>
    <row r="4" spans="1:36" ht="25.2" hidden="1" customHeight="1" outlineLevel="2"/>
    <row r="5" spans="1:36" ht="25.2" customHeight="1" outlineLevel="1" collapsed="1">
      <c r="A5" s="3015" t="s">
        <v>4055</v>
      </c>
      <c r="B5" s="3015"/>
      <c r="C5" s="3016"/>
      <c r="D5" s="3016"/>
      <c r="E5" s="3016"/>
      <c r="F5" s="3016"/>
      <c r="G5" s="3016"/>
      <c r="H5" s="3016"/>
      <c r="I5" s="3016"/>
      <c r="J5" s="3016"/>
      <c r="K5" s="3016"/>
      <c r="L5" s="3016"/>
      <c r="M5" s="3016"/>
      <c r="N5" s="3016"/>
      <c r="O5" s="3016"/>
      <c r="P5" s="3016"/>
      <c r="Q5" s="3016"/>
      <c r="R5" s="3016"/>
      <c r="S5" s="3016"/>
      <c r="T5" s="3017"/>
      <c r="U5" s="3017"/>
      <c r="V5" s="3015"/>
      <c r="W5" s="3015"/>
      <c r="X5" s="3015"/>
      <c r="Y5" s="3015"/>
      <c r="Z5" s="557"/>
      <c r="AA5" s="3015"/>
      <c r="AB5" s="3015"/>
      <c r="AC5" s="3018"/>
      <c r="AD5" s="3018"/>
      <c r="AE5" s="3018"/>
      <c r="AF5" s="3018"/>
      <c r="AG5" s="3018"/>
      <c r="AH5" s="3019"/>
    </row>
    <row r="6" spans="1:36" ht="25.2" customHeight="1" outlineLevel="1">
      <c r="A6" s="647" t="str">
        <f>CT_tram!D20</f>
        <v>Công trình: Xây dựng mới TBA 3P-1000kVA Công ty cổ phần Xuân Trường Solar</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36" ht="25.2"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36" ht="25.2" customHeight="1" outlineLevel="1">
      <c r="A8" s="3020"/>
      <c r="B8" s="3021"/>
      <c r="C8" s="3022"/>
      <c r="D8" s="3022"/>
      <c r="E8" s="3022"/>
      <c r="F8" s="3022"/>
      <c r="G8" s="3022"/>
      <c r="H8" s="3022"/>
      <c r="I8" s="3022"/>
      <c r="J8" s="3022"/>
      <c r="K8" s="3023"/>
      <c r="L8" s="3023"/>
      <c r="M8" s="3022"/>
      <c r="N8" s="3022"/>
      <c r="O8" s="3022"/>
      <c r="P8" s="3022"/>
      <c r="Q8" s="3022"/>
      <c r="R8" s="3022"/>
      <c r="S8" s="3022"/>
      <c r="T8" s="3022"/>
      <c r="U8" s="3022"/>
      <c r="V8" s="3022"/>
      <c r="W8" s="3022"/>
      <c r="X8" s="3022"/>
      <c r="Y8" s="3022"/>
      <c r="Z8" s="3022"/>
      <c r="AA8" s="3022"/>
      <c r="AB8" s="3022"/>
      <c r="AC8" s="3022"/>
      <c r="AD8" s="3022"/>
      <c r="AE8" s="3022"/>
      <c r="AF8" s="3022"/>
      <c r="AG8" s="3022"/>
      <c r="AH8" s="3022"/>
      <c r="AI8" s="3024"/>
      <c r="AJ8" s="3025"/>
    </row>
    <row r="9" spans="1:36" s="3027" customFormat="1" ht="196.2" customHeight="1">
      <c r="A9" s="3026" t="s">
        <v>6467</v>
      </c>
      <c r="B9" s="3026" t="s">
        <v>6560</v>
      </c>
      <c r="C9" s="3026" t="s">
        <v>6561</v>
      </c>
      <c r="D9" s="3026" t="s">
        <v>6562</v>
      </c>
      <c r="E9" s="3026" t="s">
        <v>6469</v>
      </c>
      <c r="F9" s="3026" t="s">
        <v>6563</v>
      </c>
      <c r="G9" s="3026" t="s">
        <v>2780</v>
      </c>
      <c r="H9" s="3026" t="s">
        <v>958</v>
      </c>
      <c r="I9" s="3026" t="s">
        <v>2313</v>
      </c>
      <c r="J9" s="3026" t="s">
        <v>219</v>
      </c>
      <c r="K9" s="3026" t="s">
        <v>2305</v>
      </c>
      <c r="L9" s="3026" t="s">
        <v>2306</v>
      </c>
      <c r="M9" s="3026" t="s">
        <v>2387</v>
      </c>
      <c r="N9" s="3026" t="s">
        <v>2391</v>
      </c>
      <c r="O9" s="3026" t="s">
        <v>6566</v>
      </c>
      <c r="P9" s="3026" t="s">
        <v>6505</v>
      </c>
      <c r="Q9" s="3026" t="s">
        <v>6567</v>
      </c>
      <c r="R9" s="3026" t="s">
        <v>6570</v>
      </c>
      <c r="S9" s="3026" t="s">
        <v>6572</v>
      </c>
      <c r="T9" s="3026" t="s">
        <v>3508</v>
      </c>
      <c r="U9" s="3026" t="s">
        <v>6576</v>
      </c>
      <c r="V9" s="3026" t="s">
        <v>6659</v>
      </c>
      <c r="W9" s="3026" t="s">
        <v>3828</v>
      </c>
      <c r="X9" s="3026" t="s">
        <v>6581</v>
      </c>
      <c r="Y9" s="3026" t="s">
        <v>6585</v>
      </c>
      <c r="Z9" s="3026" t="s">
        <v>2405</v>
      </c>
      <c r="AA9" s="3026" t="s">
        <v>4101</v>
      </c>
      <c r="AB9" s="3026" t="s">
        <v>6588</v>
      </c>
      <c r="AC9" s="3026" t="s">
        <v>6591</v>
      </c>
      <c r="AD9" s="3026" t="s">
        <v>6598</v>
      </c>
      <c r="AE9" s="3026" t="s">
        <v>6597</v>
      </c>
      <c r="AF9" s="3026" t="s">
        <v>4105</v>
      </c>
      <c r="AG9" s="3026" t="s">
        <v>6600</v>
      </c>
      <c r="AH9" s="3026" t="s">
        <v>4168</v>
      </c>
    </row>
    <row r="10" spans="1:36" ht="25.2" hidden="1" customHeight="1">
      <c r="A10" s="3268" t="s">
        <v>6603</v>
      </c>
      <c r="B10" s="3028"/>
      <c r="C10" s="3029"/>
      <c r="D10" s="3029"/>
      <c r="E10" s="3030">
        <f>E140</f>
        <v>0</v>
      </c>
      <c r="F10" s="3030">
        <f t="shared" ref="F10:AH10" si="11">F140</f>
        <v>0</v>
      </c>
      <c r="G10" s="3030">
        <f t="shared" si="11"/>
        <v>0</v>
      </c>
      <c r="H10" s="3030">
        <f t="shared" si="11"/>
        <v>1</v>
      </c>
      <c r="I10" s="3030">
        <f t="shared" si="11"/>
        <v>1</v>
      </c>
      <c r="J10" s="3030">
        <f t="shared" si="11"/>
        <v>8</v>
      </c>
      <c r="K10" s="3030">
        <f t="shared" si="11"/>
        <v>1</v>
      </c>
      <c r="L10" s="3030">
        <f t="shared" si="11"/>
        <v>2</v>
      </c>
      <c r="M10" s="3030">
        <f t="shared" si="11"/>
        <v>17</v>
      </c>
      <c r="N10" s="3030">
        <f t="shared" si="11"/>
        <v>1</v>
      </c>
      <c r="O10" s="3030">
        <f t="shared" si="11"/>
        <v>216</v>
      </c>
      <c r="P10" s="3030">
        <f t="shared" si="11"/>
        <v>3</v>
      </c>
      <c r="Q10" s="3030">
        <f t="shared" si="11"/>
        <v>3</v>
      </c>
      <c r="R10" s="3030">
        <f t="shared" si="11"/>
        <v>12</v>
      </c>
      <c r="S10" s="3030">
        <f t="shared" si="11"/>
        <v>216</v>
      </c>
      <c r="T10" s="3030">
        <f t="shared" si="11"/>
        <v>272</v>
      </c>
      <c r="U10" s="3030">
        <f t="shared" si="11"/>
        <v>23</v>
      </c>
      <c r="V10" s="3030">
        <f t="shared" ref="V10" si="12">V140</f>
        <v>3</v>
      </c>
      <c r="W10" s="3030">
        <f t="shared" si="11"/>
        <v>1</v>
      </c>
      <c r="X10" s="3030">
        <f t="shared" ref="X10" si="13">X140</f>
        <v>106</v>
      </c>
      <c r="Y10" s="3030">
        <f t="shared" si="11"/>
        <v>29</v>
      </c>
      <c r="Z10" s="3030">
        <f t="shared" si="11"/>
        <v>33</v>
      </c>
      <c r="AA10" s="3030">
        <f t="shared" si="11"/>
        <v>23</v>
      </c>
      <c r="AB10" s="3030">
        <f t="shared" si="11"/>
        <v>3</v>
      </c>
      <c r="AC10" s="3030">
        <f t="shared" si="11"/>
        <v>48</v>
      </c>
      <c r="AD10" s="3030">
        <f t="shared" si="11"/>
        <v>30</v>
      </c>
      <c r="AE10" s="3030">
        <f t="shared" si="11"/>
        <v>1</v>
      </c>
      <c r="AF10" s="3030">
        <f t="shared" si="11"/>
        <v>3</v>
      </c>
      <c r="AG10" s="3030">
        <f t="shared" si="11"/>
        <v>1</v>
      </c>
      <c r="AH10" s="3030">
        <f t="shared" si="11"/>
        <v>0</v>
      </c>
    </row>
    <row r="11" spans="1:36" ht="25.2"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row>
    <row r="12" spans="1:36" ht="25.2" customHeight="1">
      <c r="A12" s="3000" t="s">
        <v>6604</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36" ht="25.2" customHeight="1">
      <c r="A13" s="3000"/>
      <c r="B13" s="3000" t="s">
        <v>6641</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36" ht="25.2"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36" ht="25.2" customHeight="1">
      <c r="A15" s="3000" t="s">
        <v>6605</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36" ht="25.2"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2" customHeight="1">
      <c r="A17" s="3000" t="s">
        <v>6606</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2" customHeight="1">
      <c r="A18" s="3000"/>
      <c r="B18" s="3000" t="s">
        <v>6642</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2"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2" customHeight="1">
      <c r="A20" s="3000"/>
      <c r="B20" s="3000" t="s">
        <v>6643</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2" customHeight="1">
      <c r="A21" s="3000" t="s">
        <v>6607</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2" customHeight="1">
      <c r="A22" s="3000"/>
      <c r="B22" s="3000" t="s">
        <v>6644</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2"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2" customHeight="1">
      <c r="A24" s="3000" t="s">
        <v>6608</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2"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2" customHeight="1">
      <c r="A26" s="3000"/>
      <c r="B26" s="3000" t="s">
        <v>6645</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2" customHeight="1">
      <c r="A27" s="3000" t="s">
        <v>6609</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2"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2" customHeight="1">
      <c r="A29" s="3000"/>
      <c r="B29" s="3000" t="s">
        <v>6646</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2" customHeight="1">
      <c r="A30" s="3000" t="s">
        <v>6610</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2" customHeight="1">
      <c r="A31" s="3000"/>
      <c r="B31" s="3000" t="s">
        <v>6647</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2"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2" customHeight="1">
      <c r="A33" s="3000"/>
      <c r="B33" s="3000" t="s">
        <v>6648</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2" customHeight="1">
      <c r="A34" s="3000" t="s">
        <v>6611</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2" customHeight="1">
      <c r="A35" s="3000">
        <v>9</v>
      </c>
      <c r="B35" s="3000"/>
      <c r="C35" s="3001" t="s">
        <v>501</v>
      </c>
      <c r="D35" s="3001">
        <v>34.4</v>
      </c>
      <c r="E35" s="3001"/>
      <c r="F35" s="3001"/>
      <c r="G35" s="3001"/>
      <c r="H35" s="3001"/>
      <c r="I35" s="3001"/>
      <c r="J35" s="3001"/>
      <c r="K35" s="3002"/>
      <c r="L35" s="3002"/>
      <c r="M35" s="3001"/>
      <c r="N35" s="3001"/>
      <c r="O35" s="3001"/>
      <c r="P35" s="3001"/>
      <c r="Q35" s="3001"/>
      <c r="R35" s="3001"/>
      <c r="S35" s="3001"/>
      <c r="T35" s="3001"/>
      <c r="U35" s="3001"/>
      <c r="V35" s="3001"/>
      <c r="W35" s="3001"/>
      <c r="X35" s="3001"/>
      <c r="Y35" s="3001"/>
      <c r="Z35" s="3001"/>
      <c r="AA35" s="3001"/>
      <c r="AB35" s="3001"/>
      <c r="AC35" s="3001"/>
      <c r="AD35" s="3001"/>
      <c r="AE35" s="3001"/>
      <c r="AF35" s="3001"/>
      <c r="AG35" s="3001"/>
      <c r="AH35" s="3001"/>
    </row>
    <row r="36" spans="1:34" ht="25.2" customHeight="1">
      <c r="A36" s="3031"/>
      <c r="B36" s="3032" t="s">
        <v>6649</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2" customHeight="1">
      <c r="A37" s="3000" t="s">
        <v>6612</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2" customHeight="1">
      <c r="A38" s="3000"/>
      <c r="B38" s="3000" t="s">
        <v>6650</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2"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2" customHeight="1">
      <c r="A40" s="3000"/>
      <c r="B40" s="3000" t="s">
        <v>6655</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2"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2"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2"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2" customHeight="1">
      <c r="A44" s="3000"/>
      <c r="B44" s="3032" t="s">
        <v>6651</v>
      </c>
      <c r="C44" s="3001"/>
      <c r="D44" s="3001">
        <v>43.3</v>
      </c>
      <c r="E44" s="3001"/>
      <c r="F44" s="3001"/>
      <c r="G44" s="3001"/>
      <c r="H44" s="3001"/>
      <c r="I44" s="3001"/>
      <c r="J44" s="3001"/>
      <c r="K44" s="3002"/>
      <c r="L44" s="3002"/>
      <c r="M44" s="3001">
        <v>1</v>
      </c>
      <c r="N44" s="3001"/>
      <c r="O44" s="3001">
        <v>8</v>
      </c>
      <c r="P44" s="3001"/>
      <c r="Q44" s="3001"/>
      <c r="R44" s="3001"/>
      <c r="S44" s="3001">
        <v>8</v>
      </c>
      <c r="T44" s="3001">
        <v>10</v>
      </c>
      <c r="U44" s="3001"/>
      <c r="V44" s="3001"/>
      <c r="W44" s="3001"/>
      <c r="X44" s="3001">
        <v>3</v>
      </c>
      <c r="Y44" s="3001">
        <v>1</v>
      </c>
      <c r="Z44" s="3001">
        <v>2</v>
      </c>
      <c r="AA44" s="3001"/>
      <c r="AB44" s="3001"/>
      <c r="AC44" s="3001"/>
      <c r="AD44" s="3001"/>
      <c r="AE44" s="3001"/>
      <c r="AF44" s="3001"/>
      <c r="AG44" s="3001"/>
      <c r="AH44" s="3001"/>
    </row>
    <row r="45" spans="1:34" ht="25.2" customHeight="1">
      <c r="A45" s="3031" t="s">
        <v>2029</v>
      </c>
      <c r="B45" s="3032"/>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2"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2" customHeight="1">
      <c r="A47" s="3033">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2" customHeight="1">
      <c r="A48" s="3034"/>
      <c r="B48" s="3000" t="s">
        <v>6652</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2" customHeight="1">
      <c r="A49" s="3034"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2" customHeight="1">
      <c r="A50" s="3034"/>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2" customHeight="1">
      <c r="A51" s="3034">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2" customHeight="1">
      <c r="A52" s="3034"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2" customHeight="1">
      <c r="A53" s="3034">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2" customHeight="1">
      <c r="A54" s="3034"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2" customHeight="1">
      <c r="A55" s="3034">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2" customHeight="1">
      <c r="A56" s="3035" t="s">
        <v>425</v>
      </c>
      <c r="B56" s="3036"/>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4"/>
      <c r="AF56" s="3004"/>
      <c r="AG56" s="3004"/>
      <c r="AH56" s="3004"/>
    </row>
    <row r="57" spans="1:34" ht="25.2" customHeight="1">
      <c r="A57" s="3035">
        <v>16</v>
      </c>
      <c r="B57" s="3036"/>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4"/>
      <c r="AF57" s="3004"/>
      <c r="AG57" s="3004"/>
      <c r="AH57" s="3004"/>
    </row>
    <row r="58" spans="1:34" ht="25.2" customHeight="1">
      <c r="A58" s="3035" t="s">
        <v>426</v>
      </c>
      <c r="B58" s="3036"/>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4"/>
      <c r="AF58" s="3004"/>
      <c r="AG58" s="3004"/>
      <c r="AH58" s="3004"/>
    </row>
    <row r="59" spans="1:34" ht="25.2" customHeight="1">
      <c r="A59" s="3035">
        <v>17</v>
      </c>
      <c r="B59" s="3036"/>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2" customHeight="1">
      <c r="A60" s="3035" t="s">
        <v>427</v>
      </c>
      <c r="B60" s="3036"/>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2" customHeight="1">
      <c r="A61" s="3037">
        <v>18</v>
      </c>
      <c r="B61" s="3037"/>
      <c r="C61" s="3006" t="s">
        <v>501</v>
      </c>
      <c r="D61" s="3004">
        <v>42.3</v>
      </c>
      <c r="E61" s="3004"/>
      <c r="F61" s="3004"/>
      <c r="G61" s="3004"/>
      <c r="H61" s="3004"/>
      <c r="I61" s="3004"/>
      <c r="J61" s="3004"/>
      <c r="K61" s="3005"/>
      <c r="L61" s="3005"/>
      <c r="M61" s="3004"/>
      <c r="N61" s="3004"/>
      <c r="O61" s="3004"/>
      <c r="P61" s="3004"/>
      <c r="Q61" s="3004"/>
      <c r="R61" s="3004"/>
      <c r="S61" s="3004"/>
      <c r="T61" s="3004"/>
      <c r="U61" s="3004"/>
      <c r="V61" s="3004"/>
      <c r="W61" s="3004"/>
      <c r="X61" s="3004"/>
      <c r="Y61" s="3004"/>
      <c r="Z61" s="3004"/>
      <c r="AA61" s="3004"/>
      <c r="AB61" s="3004"/>
      <c r="AC61" s="3004"/>
      <c r="AD61" s="3004"/>
      <c r="AE61" s="3004"/>
      <c r="AF61" s="3004"/>
      <c r="AG61" s="3004"/>
      <c r="AH61" s="3004"/>
    </row>
    <row r="62" spans="1:34" ht="25.2" customHeight="1">
      <c r="A62" s="3038" t="s">
        <v>428</v>
      </c>
      <c r="B62" s="3039"/>
      <c r="C62" s="3007"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2" customHeight="1">
      <c r="A63" s="3035">
        <v>19</v>
      </c>
      <c r="B63" s="3036"/>
      <c r="C63" s="3007"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2" customHeight="1">
      <c r="A64" s="3035" t="s">
        <v>429</v>
      </c>
      <c r="B64" s="3036"/>
      <c r="C64" s="3007"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2" customHeight="1">
      <c r="A65" s="3035">
        <v>20</v>
      </c>
      <c r="B65" s="3036"/>
      <c r="C65" s="3007"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2" customHeight="1">
      <c r="A66" s="3035" t="s">
        <v>430</v>
      </c>
      <c r="B66" s="3036"/>
      <c r="C66" s="3007"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2" customHeight="1">
      <c r="A67" s="3035">
        <v>21</v>
      </c>
      <c r="B67" s="3036"/>
      <c r="C67" s="3007"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2" customHeight="1">
      <c r="A68" s="3035" t="s">
        <v>1679</v>
      </c>
      <c r="B68" s="3036"/>
      <c r="C68" s="3007"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2" customHeight="1">
      <c r="A69" s="3035">
        <v>22</v>
      </c>
      <c r="B69" s="3036"/>
      <c r="C69" s="3007"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2" customHeight="1">
      <c r="A70" s="3035" t="s">
        <v>1680</v>
      </c>
      <c r="B70" s="3036"/>
      <c r="C70" s="3007"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2" customHeight="1">
      <c r="A71" s="3035">
        <v>23</v>
      </c>
      <c r="B71" s="3036"/>
      <c r="C71" s="3007"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2" customHeight="1">
      <c r="A72" s="3035" t="s">
        <v>1681</v>
      </c>
      <c r="B72" s="3036"/>
      <c r="C72" s="3007"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2" customHeight="1">
      <c r="A73" s="3035">
        <v>24</v>
      </c>
      <c r="B73" s="3036"/>
      <c r="C73" s="3007"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2" customHeight="1">
      <c r="A74" s="3035" t="s">
        <v>172</v>
      </c>
      <c r="B74" s="3036"/>
      <c r="C74" s="3007"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2" customHeight="1">
      <c r="A75" s="3035">
        <v>25</v>
      </c>
      <c r="B75" s="3036"/>
      <c r="C75" s="3007"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2" customHeight="1">
      <c r="A76" s="3035" t="s">
        <v>173</v>
      </c>
      <c r="B76" s="3036"/>
      <c r="C76" s="3007"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2" customHeight="1">
      <c r="A77" s="3035">
        <v>26</v>
      </c>
      <c r="B77" s="3036"/>
      <c r="C77" s="3007"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2" customHeight="1">
      <c r="A78" s="3035" t="s">
        <v>174</v>
      </c>
      <c r="B78" s="3036"/>
      <c r="C78" s="3007"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2" customHeight="1">
      <c r="A79" s="3035">
        <v>27</v>
      </c>
      <c r="B79" s="3036"/>
      <c r="C79" s="3007"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2" customHeight="1">
      <c r="A80" s="3035" t="s">
        <v>175</v>
      </c>
      <c r="B80" s="3036"/>
      <c r="C80" s="3007"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2" customHeight="1">
      <c r="A81" s="3035">
        <v>28</v>
      </c>
      <c r="B81" s="3036"/>
      <c r="C81" s="3007"/>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2" customHeight="1">
      <c r="A82" s="3035" t="s">
        <v>176</v>
      </c>
      <c r="B82" s="3036"/>
      <c r="C82" s="3007"/>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2" customHeight="1">
      <c r="A83" s="3035">
        <v>29</v>
      </c>
      <c r="B83" s="3036"/>
      <c r="C83" s="3007"/>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2" customHeight="1">
      <c r="A84" s="3035" t="s">
        <v>6613</v>
      </c>
      <c r="B84" s="3036"/>
      <c r="C84" s="3007"/>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2" customHeight="1">
      <c r="A85" s="3037">
        <v>30</v>
      </c>
      <c r="B85" s="3037"/>
      <c r="C85" s="3007" t="s">
        <v>501</v>
      </c>
      <c r="D85" s="3004">
        <v>42.1</v>
      </c>
      <c r="E85" s="3004"/>
      <c r="F85" s="3004"/>
      <c r="G85" s="3004"/>
      <c r="H85" s="3004"/>
      <c r="I85" s="3004"/>
      <c r="J85" s="3004">
        <v>1</v>
      </c>
      <c r="K85" s="3005"/>
      <c r="L85" s="3005"/>
      <c r="M85" s="3004"/>
      <c r="N85" s="3004"/>
      <c r="O85" s="3004">
        <v>8</v>
      </c>
      <c r="P85" s="3004"/>
      <c r="Q85" s="3004"/>
      <c r="R85" s="3004"/>
      <c r="S85" s="3001">
        <v>8</v>
      </c>
      <c r="T85" s="3004">
        <v>8</v>
      </c>
      <c r="U85" s="3004">
        <v>2</v>
      </c>
      <c r="V85" s="3001"/>
      <c r="W85" s="3001"/>
      <c r="X85" s="3001">
        <v>4</v>
      </c>
      <c r="Y85" s="3001">
        <v>1</v>
      </c>
      <c r="Z85" s="3001"/>
      <c r="AA85" s="3001">
        <v>2</v>
      </c>
      <c r="AB85" s="3001"/>
      <c r="AC85" s="3001"/>
      <c r="AD85" s="3001"/>
      <c r="AE85" s="3001"/>
      <c r="AF85" s="3001"/>
      <c r="AG85" s="3001"/>
      <c r="AH85" s="3001"/>
    </row>
    <row r="86" spans="1:34" ht="25.2" customHeight="1">
      <c r="A86" s="3038" t="s">
        <v>177</v>
      </c>
      <c r="B86" s="3039"/>
      <c r="C86" s="3007" t="s">
        <v>501</v>
      </c>
      <c r="D86" s="3001">
        <v>39.6</v>
      </c>
      <c r="E86" s="3001"/>
      <c r="F86" s="3001"/>
      <c r="G86" s="3001"/>
      <c r="H86" s="3001"/>
      <c r="I86" s="3001"/>
      <c r="J86" s="3001">
        <v>1</v>
      </c>
      <c r="K86" s="3002"/>
      <c r="L86" s="3002"/>
      <c r="M86" s="3001"/>
      <c r="N86" s="3001"/>
      <c r="O86" s="3004">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2" customHeight="1">
      <c r="A87" s="3035">
        <v>31</v>
      </c>
      <c r="B87" s="3036"/>
      <c r="C87" s="3007"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2" customHeight="1">
      <c r="A88" s="3035" t="s">
        <v>6614</v>
      </c>
      <c r="B88" s="3036"/>
      <c r="C88" s="3007"/>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2" customHeight="1">
      <c r="A89" s="3035" t="s">
        <v>6615</v>
      </c>
      <c r="B89" s="3036"/>
      <c r="C89" s="3007"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2" customHeight="1">
      <c r="A90" s="3035">
        <v>32</v>
      </c>
      <c r="B90" s="3036"/>
      <c r="C90" s="3007"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2" customHeight="1">
      <c r="A91" s="3035" t="s">
        <v>6616</v>
      </c>
      <c r="B91" s="3036"/>
      <c r="C91" s="3007"/>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2" customHeight="1">
      <c r="A92" s="3035">
        <v>33</v>
      </c>
      <c r="B92" s="3036"/>
      <c r="C92" s="3007"/>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2" customHeight="1">
      <c r="A93" s="3035" t="s">
        <v>6617</v>
      </c>
      <c r="B93" s="3036"/>
      <c r="C93" s="3007"/>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2" customHeight="1">
      <c r="A94" s="3035">
        <v>34</v>
      </c>
      <c r="B94" s="3036"/>
      <c r="C94" s="3007"/>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2" customHeight="1">
      <c r="A95" s="3035" t="s">
        <v>6618</v>
      </c>
      <c r="B95" s="3036"/>
      <c r="C95" s="3007"/>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2" customHeight="1">
      <c r="A96" s="3035">
        <v>35</v>
      </c>
      <c r="B96" s="3036"/>
      <c r="C96" s="3007"/>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2" customHeight="1">
      <c r="A97" s="3035" t="s">
        <v>6619</v>
      </c>
      <c r="B97" s="3036"/>
      <c r="C97" s="3007"/>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2" customHeight="1">
      <c r="A98" s="3035">
        <v>36</v>
      </c>
      <c r="B98" s="3036"/>
      <c r="C98" s="3007"/>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2" customHeight="1">
      <c r="A99" s="3037" t="s">
        <v>6620</v>
      </c>
      <c r="B99" s="3037"/>
      <c r="C99" s="3007"/>
      <c r="D99" s="3004">
        <v>34.5</v>
      </c>
      <c r="E99" s="3004"/>
      <c r="F99" s="3004"/>
      <c r="G99" s="3004"/>
      <c r="H99" s="3004"/>
      <c r="I99" s="3004"/>
      <c r="J99" s="3004"/>
      <c r="K99" s="3005"/>
      <c r="L99" s="3005"/>
      <c r="M99" s="3004"/>
      <c r="N99" s="3004"/>
      <c r="O99" s="3004"/>
      <c r="P99" s="3004"/>
      <c r="Q99" s="3004"/>
      <c r="R99" s="3004"/>
      <c r="S99" s="3004"/>
      <c r="T99" s="3004"/>
      <c r="U99" s="3004"/>
      <c r="V99" s="3001"/>
      <c r="W99" s="3001"/>
      <c r="X99" s="3001"/>
      <c r="Y99" s="3001"/>
      <c r="Z99" s="3001"/>
      <c r="AA99" s="3001"/>
      <c r="AB99" s="3001"/>
      <c r="AC99" s="3001"/>
      <c r="AD99" s="3001"/>
      <c r="AE99" s="3001"/>
      <c r="AF99" s="3001"/>
      <c r="AG99" s="3001"/>
      <c r="AH99" s="3001"/>
    </row>
    <row r="100" spans="1:34" ht="25.2" customHeight="1">
      <c r="A100" s="3037">
        <v>37</v>
      </c>
      <c r="B100" s="3037"/>
      <c r="C100" s="3007"/>
      <c r="D100" s="3004">
        <v>30.9</v>
      </c>
      <c r="E100" s="3004"/>
      <c r="F100" s="3004"/>
      <c r="G100" s="3004"/>
      <c r="H100" s="3004"/>
      <c r="I100" s="3004"/>
      <c r="J100" s="3004"/>
      <c r="K100" s="3005"/>
      <c r="L100" s="3005"/>
      <c r="M100" s="3004"/>
      <c r="N100" s="3004"/>
      <c r="O100" s="3004"/>
      <c r="P100" s="3004"/>
      <c r="Q100" s="3004"/>
      <c r="R100" s="3004"/>
      <c r="S100" s="3004"/>
      <c r="T100" s="3004"/>
      <c r="U100" s="3004"/>
      <c r="V100" s="3001"/>
      <c r="W100" s="3001"/>
      <c r="X100" s="3001"/>
      <c r="Y100" s="3001"/>
      <c r="Z100" s="3001"/>
      <c r="AA100" s="3001"/>
      <c r="AB100" s="3001"/>
      <c r="AC100" s="3001"/>
      <c r="AD100" s="3001"/>
      <c r="AE100" s="3001"/>
      <c r="AF100" s="3001"/>
      <c r="AG100" s="3001"/>
      <c r="AH100" s="3001"/>
    </row>
    <row r="101" spans="1:34" ht="25.2" customHeight="1">
      <c r="A101" s="3037" t="s">
        <v>6621</v>
      </c>
      <c r="B101" s="3037"/>
      <c r="C101" s="3007"/>
      <c r="D101" s="3004">
        <v>41.5</v>
      </c>
      <c r="E101" s="3004"/>
      <c r="F101" s="3004"/>
      <c r="G101" s="3004"/>
      <c r="H101" s="3004"/>
      <c r="I101" s="3004"/>
      <c r="J101" s="3004"/>
      <c r="K101" s="3005"/>
      <c r="L101" s="3005"/>
      <c r="M101" s="3004"/>
      <c r="N101" s="3004"/>
      <c r="O101" s="3004"/>
      <c r="P101" s="3004"/>
      <c r="Q101" s="3004"/>
      <c r="R101" s="3004"/>
      <c r="S101" s="3004"/>
      <c r="T101" s="3004"/>
      <c r="U101" s="3004"/>
      <c r="V101" s="3001"/>
      <c r="W101" s="3001"/>
      <c r="X101" s="3001"/>
      <c r="Y101" s="3001"/>
      <c r="Z101" s="3001"/>
      <c r="AA101" s="3001"/>
      <c r="AB101" s="3001"/>
      <c r="AC101" s="3001"/>
      <c r="AD101" s="3001"/>
      <c r="AE101" s="3001"/>
      <c r="AF101" s="3001"/>
      <c r="AG101" s="3001"/>
      <c r="AH101" s="3001"/>
    </row>
    <row r="102" spans="1:34" ht="25.2" customHeight="1">
      <c r="A102" s="3037">
        <v>38</v>
      </c>
      <c r="B102" s="3037"/>
      <c r="C102" s="3007"/>
      <c r="D102" s="3004">
        <v>39.6</v>
      </c>
      <c r="E102" s="3004"/>
      <c r="F102" s="3004"/>
      <c r="G102" s="3004"/>
      <c r="H102" s="3004"/>
      <c r="I102" s="3004"/>
      <c r="J102" s="3004"/>
      <c r="K102" s="3005"/>
      <c r="L102" s="3005"/>
      <c r="M102" s="3004"/>
      <c r="N102" s="3004"/>
      <c r="O102" s="3004"/>
      <c r="P102" s="3004"/>
      <c r="Q102" s="3004"/>
      <c r="R102" s="3004"/>
      <c r="S102" s="3004"/>
      <c r="T102" s="3004"/>
      <c r="U102" s="3004"/>
      <c r="V102" s="3001"/>
      <c r="W102" s="3001"/>
      <c r="X102" s="3001"/>
      <c r="Y102" s="3001"/>
      <c r="Z102" s="3001"/>
      <c r="AA102" s="3001"/>
      <c r="AB102" s="3001"/>
      <c r="AC102" s="3001"/>
      <c r="AD102" s="3001"/>
      <c r="AE102" s="3001"/>
      <c r="AF102" s="3001"/>
      <c r="AG102" s="3001"/>
      <c r="AH102" s="3001"/>
    </row>
    <row r="103" spans="1:34" ht="25.2" customHeight="1">
      <c r="A103" s="3037" t="s">
        <v>6622</v>
      </c>
      <c r="B103" s="3037"/>
      <c r="C103" s="3007"/>
      <c r="D103" s="3004">
        <v>35.1</v>
      </c>
      <c r="E103" s="3004"/>
      <c r="F103" s="3004"/>
      <c r="G103" s="3004"/>
      <c r="H103" s="3004"/>
      <c r="I103" s="3004"/>
      <c r="J103" s="3004"/>
      <c r="K103" s="3005"/>
      <c r="L103" s="3005"/>
      <c r="M103" s="3004"/>
      <c r="N103" s="3004"/>
      <c r="O103" s="3004"/>
      <c r="P103" s="3004"/>
      <c r="Q103" s="3004"/>
      <c r="R103" s="3004"/>
      <c r="S103" s="3004"/>
      <c r="T103" s="3004"/>
      <c r="U103" s="3004"/>
      <c r="V103" s="3001"/>
      <c r="W103" s="3001"/>
      <c r="X103" s="3001"/>
      <c r="Y103" s="3001"/>
      <c r="Z103" s="3001"/>
      <c r="AA103" s="3001"/>
      <c r="AB103" s="3001"/>
      <c r="AC103" s="3001"/>
      <c r="AD103" s="3001"/>
      <c r="AE103" s="3001"/>
      <c r="AF103" s="3001"/>
      <c r="AG103" s="3001"/>
      <c r="AH103" s="3001"/>
    </row>
    <row r="104" spans="1:34" ht="25.2" customHeight="1">
      <c r="A104" s="3037">
        <v>39</v>
      </c>
      <c r="B104" s="3037"/>
      <c r="C104" s="3007"/>
      <c r="D104" s="3004">
        <v>43.7</v>
      </c>
      <c r="E104" s="3004"/>
      <c r="F104" s="3004"/>
      <c r="G104" s="3004"/>
      <c r="H104" s="3004"/>
      <c r="I104" s="3004"/>
      <c r="J104" s="3004"/>
      <c r="K104" s="3005"/>
      <c r="L104" s="3005"/>
      <c r="M104" s="3004"/>
      <c r="N104" s="3004"/>
      <c r="O104" s="3004"/>
      <c r="P104" s="3004"/>
      <c r="Q104" s="3004"/>
      <c r="R104" s="3004"/>
      <c r="S104" s="3004"/>
      <c r="T104" s="3004"/>
      <c r="U104" s="3004"/>
      <c r="V104" s="3001"/>
      <c r="W104" s="3001"/>
      <c r="X104" s="3001"/>
      <c r="Y104" s="3001"/>
      <c r="Z104" s="3001"/>
      <c r="AA104" s="3001"/>
      <c r="AB104" s="3001"/>
      <c r="AC104" s="3001"/>
      <c r="AD104" s="3001"/>
      <c r="AE104" s="3001"/>
      <c r="AF104" s="3001"/>
      <c r="AG104" s="3001"/>
      <c r="AH104" s="3001"/>
    </row>
    <row r="105" spans="1:34" ht="25.2" customHeight="1">
      <c r="A105" s="3037" t="s">
        <v>6623</v>
      </c>
      <c r="B105" s="3037"/>
      <c r="C105" s="3007"/>
      <c r="D105" s="3004">
        <v>35.9</v>
      </c>
      <c r="E105" s="3004"/>
      <c r="F105" s="3004"/>
      <c r="G105" s="3004"/>
      <c r="H105" s="3004"/>
      <c r="I105" s="3004"/>
      <c r="J105" s="3004"/>
      <c r="K105" s="3005"/>
      <c r="L105" s="3005"/>
      <c r="M105" s="3004"/>
      <c r="N105" s="3004"/>
      <c r="O105" s="3004"/>
      <c r="P105" s="3004"/>
      <c r="Q105" s="3004"/>
      <c r="R105" s="3004"/>
      <c r="S105" s="3004"/>
      <c r="T105" s="3004"/>
      <c r="U105" s="3004"/>
      <c r="V105" s="3001"/>
      <c r="W105" s="3001"/>
      <c r="X105" s="3001"/>
      <c r="Y105" s="3001"/>
      <c r="Z105" s="3001"/>
      <c r="AA105" s="3001"/>
      <c r="AB105" s="3001"/>
      <c r="AC105" s="3001"/>
      <c r="AD105" s="3001"/>
      <c r="AE105" s="3001"/>
      <c r="AF105" s="3001"/>
      <c r="AG105" s="3001"/>
      <c r="AH105" s="3001"/>
    </row>
    <row r="106" spans="1:34" ht="25.2" customHeight="1">
      <c r="A106" s="3037">
        <v>40</v>
      </c>
      <c r="B106" s="3037"/>
      <c r="C106" s="3007"/>
      <c r="D106" s="3004">
        <v>36.200000000000003</v>
      </c>
      <c r="E106" s="3004"/>
      <c r="F106" s="3004"/>
      <c r="G106" s="3004"/>
      <c r="H106" s="3004"/>
      <c r="I106" s="3004"/>
      <c r="J106" s="3004"/>
      <c r="K106" s="3005"/>
      <c r="L106" s="3005"/>
      <c r="M106" s="3004"/>
      <c r="N106" s="3004"/>
      <c r="O106" s="3004"/>
      <c r="P106" s="3004"/>
      <c r="Q106" s="3004"/>
      <c r="R106" s="3004"/>
      <c r="S106" s="3004"/>
      <c r="T106" s="3004"/>
      <c r="U106" s="3004"/>
      <c r="V106" s="3001"/>
      <c r="W106" s="3001"/>
      <c r="X106" s="3001"/>
      <c r="Y106" s="3001"/>
      <c r="Z106" s="3001"/>
      <c r="AA106" s="3001"/>
      <c r="AB106" s="3001"/>
      <c r="AC106" s="3001"/>
      <c r="AD106" s="3001"/>
      <c r="AE106" s="3001"/>
      <c r="AF106" s="3001"/>
      <c r="AG106" s="3001"/>
      <c r="AH106" s="3001"/>
    </row>
    <row r="107" spans="1:34" ht="25.2" customHeight="1">
      <c r="A107" s="3037" t="s">
        <v>6624</v>
      </c>
      <c r="B107" s="3037"/>
      <c r="C107" s="3007"/>
      <c r="D107" s="3004">
        <v>37.5</v>
      </c>
      <c r="E107" s="3004"/>
      <c r="F107" s="3004"/>
      <c r="G107" s="3004"/>
      <c r="H107" s="3004"/>
      <c r="I107" s="3004"/>
      <c r="J107" s="3004"/>
      <c r="K107" s="3005"/>
      <c r="L107" s="3005"/>
      <c r="M107" s="3004"/>
      <c r="N107" s="3004"/>
      <c r="O107" s="3004"/>
      <c r="P107" s="3004"/>
      <c r="Q107" s="3004"/>
      <c r="R107" s="3004"/>
      <c r="S107" s="3004"/>
      <c r="T107" s="3004"/>
      <c r="U107" s="3004"/>
      <c r="V107" s="3001"/>
      <c r="W107" s="3001"/>
      <c r="X107" s="3001"/>
      <c r="Y107" s="3001"/>
      <c r="Z107" s="3001"/>
      <c r="AA107" s="3001"/>
      <c r="AB107" s="3001"/>
      <c r="AC107" s="3001"/>
      <c r="AD107" s="3001"/>
      <c r="AE107" s="3001"/>
      <c r="AF107" s="3001"/>
      <c r="AG107" s="3001"/>
      <c r="AH107" s="3001"/>
    </row>
    <row r="108" spans="1:34" ht="25.2" customHeight="1">
      <c r="A108" s="3037">
        <v>41</v>
      </c>
      <c r="B108" s="3037"/>
      <c r="C108" s="3007"/>
      <c r="D108" s="3004">
        <v>38.700000000000003</v>
      </c>
      <c r="E108" s="3004"/>
      <c r="F108" s="3004"/>
      <c r="G108" s="3004"/>
      <c r="H108" s="3004"/>
      <c r="I108" s="3004"/>
      <c r="J108" s="3004"/>
      <c r="K108" s="3005"/>
      <c r="L108" s="3005"/>
      <c r="M108" s="3004"/>
      <c r="N108" s="3004"/>
      <c r="O108" s="3004"/>
      <c r="P108" s="3004"/>
      <c r="Q108" s="3004"/>
      <c r="R108" s="3004"/>
      <c r="S108" s="3004"/>
      <c r="T108" s="3004"/>
      <c r="U108" s="3004"/>
      <c r="V108" s="3001"/>
      <c r="W108" s="3001"/>
      <c r="X108" s="3001"/>
      <c r="Y108" s="3001"/>
      <c r="Z108" s="3001"/>
      <c r="AA108" s="3001"/>
      <c r="AB108" s="3001"/>
      <c r="AC108" s="3001"/>
      <c r="AD108" s="3001"/>
      <c r="AE108" s="3001"/>
      <c r="AF108" s="3001"/>
      <c r="AG108" s="3001"/>
      <c r="AH108" s="3001"/>
    </row>
    <row r="109" spans="1:34" ht="25.2" customHeight="1">
      <c r="A109" s="3037" t="s">
        <v>6625</v>
      </c>
      <c r="B109" s="3037"/>
      <c r="C109" s="3007"/>
      <c r="D109" s="3004">
        <v>34</v>
      </c>
      <c r="E109" s="3004"/>
      <c r="F109" s="3004"/>
      <c r="G109" s="3004"/>
      <c r="H109" s="3004"/>
      <c r="I109" s="3004"/>
      <c r="J109" s="3004"/>
      <c r="K109" s="3005"/>
      <c r="L109" s="3005"/>
      <c r="M109" s="3004"/>
      <c r="N109" s="3004"/>
      <c r="O109" s="3004"/>
      <c r="P109" s="3004"/>
      <c r="Q109" s="3004"/>
      <c r="R109" s="3004"/>
      <c r="S109" s="3004"/>
      <c r="T109" s="3004"/>
      <c r="U109" s="3004"/>
      <c r="V109" s="3001"/>
      <c r="W109" s="3001"/>
      <c r="X109" s="3001"/>
      <c r="Y109" s="3001"/>
      <c r="Z109" s="3001"/>
      <c r="AA109" s="3001"/>
      <c r="AB109" s="3001"/>
      <c r="AC109" s="3001"/>
      <c r="AD109" s="3001"/>
      <c r="AE109" s="3001"/>
      <c r="AF109" s="3001"/>
      <c r="AG109" s="3001"/>
      <c r="AH109" s="3001"/>
    </row>
    <row r="110" spans="1:34" ht="25.2" customHeight="1">
      <c r="A110" s="3037">
        <v>42</v>
      </c>
      <c r="B110" s="3037"/>
      <c r="C110" s="3007"/>
      <c r="D110" s="3004">
        <v>37</v>
      </c>
      <c r="E110" s="3004"/>
      <c r="F110" s="3004"/>
      <c r="G110" s="3004"/>
      <c r="H110" s="3004"/>
      <c r="I110" s="3004"/>
      <c r="J110" s="3004"/>
      <c r="K110" s="3005"/>
      <c r="L110" s="3005"/>
      <c r="M110" s="3004"/>
      <c r="N110" s="3004"/>
      <c r="O110" s="3004"/>
      <c r="P110" s="3004"/>
      <c r="Q110" s="3004"/>
      <c r="R110" s="3004"/>
      <c r="S110" s="3004"/>
      <c r="T110" s="3004"/>
      <c r="U110" s="3004"/>
      <c r="V110" s="3001"/>
      <c r="W110" s="3001"/>
      <c r="X110" s="3001"/>
      <c r="Y110" s="3001"/>
      <c r="Z110" s="3001"/>
      <c r="AA110" s="3001"/>
      <c r="AB110" s="3001"/>
      <c r="AC110" s="3001"/>
      <c r="AD110" s="3001"/>
      <c r="AE110" s="3001"/>
      <c r="AF110" s="3001"/>
      <c r="AG110" s="3001"/>
      <c r="AH110" s="3001"/>
    </row>
    <row r="111" spans="1:34" ht="25.2" customHeight="1">
      <c r="A111" s="3037" t="s">
        <v>6626</v>
      </c>
      <c r="B111" s="3037"/>
      <c r="C111" s="3007"/>
      <c r="D111" s="3004">
        <v>39.299999999999997</v>
      </c>
      <c r="E111" s="3004"/>
      <c r="F111" s="3004"/>
      <c r="G111" s="3004"/>
      <c r="H111" s="3004"/>
      <c r="I111" s="3004"/>
      <c r="J111" s="3004"/>
      <c r="K111" s="3005"/>
      <c r="L111" s="3005"/>
      <c r="M111" s="3004"/>
      <c r="N111" s="3004"/>
      <c r="O111" s="3004"/>
      <c r="P111" s="3004"/>
      <c r="Q111" s="3004"/>
      <c r="R111" s="3004"/>
      <c r="S111" s="3004"/>
      <c r="T111" s="3004"/>
      <c r="U111" s="3004"/>
      <c r="V111" s="3001"/>
      <c r="W111" s="3001"/>
      <c r="X111" s="3001"/>
      <c r="Y111" s="3001"/>
      <c r="Z111" s="3001"/>
      <c r="AA111" s="3001"/>
      <c r="AB111" s="3001"/>
      <c r="AC111" s="3001"/>
      <c r="AD111" s="3001"/>
      <c r="AE111" s="3001"/>
      <c r="AF111" s="3001"/>
      <c r="AG111" s="3001"/>
      <c r="AH111" s="3001"/>
    </row>
    <row r="112" spans="1:34" ht="25.2" customHeight="1">
      <c r="A112" s="3037">
        <v>43</v>
      </c>
      <c r="B112" s="3037"/>
      <c r="C112" s="3007"/>
      <c r="D112" s="3004">
        <v>38.9</v>
      </c>
      <c r="E112" s="3004"/>
      <c r="F112" s="3004"/>
      <c r="G112" s="3004"/>
      <c r="H112" s="3004"/>
      <c r="I112" s="3004"/>
      <c r="J112" s="3004"/>
      <c r="K112" s="3005"/>
      <c r="L112" s="3005"/>
      <c r="M112" s="3004"/>
      <c r="N112" s="3004"/>
      <c r="O112" s="3004"/>
      <c r="P112" s="3004"/>
      <c r="Q112" s="3004"/>
      <c r="R112" s="3004"/>
      <c r="S112" s="3004"/>
      <c r="T112" s="3004"/>
      <c r="U112" s="3004"/>
      <c r="V112" s="3001"/>
      <c r="W112" s="3001"/>
      <c r="X112" s="3001"/>
      <c r="Y112" s="3001"/>
      <c r="Z112" s="3001"/>
      <c r="AA112" s="3001"/>
      <c r="AB112" s="3001"/>
      <c r="AC112" s="3001"/>
      <c r="AD112" s="3001"/>
      <c r="AE112" s="3001"/>
      <c r="AF112" s="3001"/>
      <c r="AG112" s="3001"/>
      <c r="AH112" s="3001"/>
    </row>
    <row r="113" spans="1:34" ht="25.2" customHeight="1">
      <c r="A113" s="3037" t="s">
        <v>6627</v>
      </c>
      <c r="B113" s="3037"/>
      <c r="C113" s="3007"/>
      <c r="D113" s="3004">
        <v>60.1</v>
      </c>
      <c r="E113" s="3004"/>
      <c r="F113" s="3004"/>
      <c r="G113" s="3004"/>
      <c r="H113" s="3004"/>
      <c r="I113" s="3004"/>
      <c r="J113" s="3004"/>
      <c r="K113" s="3005"/>
      <c r="L113" s="3005"/>
      <c r="M113" s="3004"/>
      <c r="N113" s="3004"/>
      <c r="O113" s="3004"/>
      <c r="P113" s="3004"/>
      <c r="Q113" s="3004"/>
      <c r="R113" s="3004"/>
      <c r="S113" s="3004"/>
      <c r="T113" s="3004"/>
      <c r="U113" s="3004"/>
      <c r="V113" s="3001"/>
      <c r="W113" s="3001"/>
      <c r="X113" s="3001"/>
      <c r="Y113" s="3001"/>
      <c r="Z113" s="3001"/>
      <c r="AA113" s="3001"/>
      <c r="AB113" s="3001"/>
      <c r="AC113" s="3001"/>
      <c r="AD113" s="3001"/>
      <c r="AE113" s="3001"/>
      <c r="AF113" s="3001"/>
      <c r="AG113" s="3001"/>
      <c r="AH113" s="3001"/>
    </row>
    <row r="114" spans="1:34" ht="25.2" customHeight="1">
      <c r="A114" s="3037">
        <v>44</v>
      </c>
      <c r="B114" s="3037"/>
      <c r="C114" s="3007"/>
      <c r="D114" s="3004">
        <v>20</v>
      </c>
      <c r="E114" s="3004"/>
      <c r="F114" s="3004"/>
      <c r="G114" s="3004"/>
      <c r="H114" s="3004"/>
      <c r="I114" s="3004"/>
      <c r="J114" s="3004"/>
      <c r="K114" s="3005"/>
      <c r="L114" s="3005"/>
      <c r="M114" s="3004"/>
      <c r="N114" s="3004"/>
      <c r="O114" s="3004"/>
      <c r="P114" s="3004"/>
      <c r="Q114" s="3004"/>
      <c r="R114" s="3004"/>
      <c r="S114" s="3004"/>
      <c r="T114" s="3004"/>
      <c r="U114" s="3004"/>
      <c r="V114" s="3001"/>
      <c r="W114" s="3001"/>
      <c r="X114" s="3001"/>
      <c r="Y114" s="3001"/>
      <c r="Z114" s="3001"/>
      <c r="AA114" s="3001"/>
      <c r="AB114" s="3001"/>
      <c r="AC114" s="3001"/>
      <c r="AD114" s="3001"/>
      <c r="AE114" s="3001"/>
      <c r="AF114" s="3001"/>
      <c r="AG114" s="3001"/>
      <c r="AH114" s="3001"/>
    </row>
    <row r="115" spans="1:34" ht="25.2" customHeight="1">
      <c r="A115" s="3037" t="s">
        <v>6628</v>
      </c>
      <c r="B115" s="3037"/>
      <c r="C115" s="3007"/>
      <c r="D115" s="3004">
        <v>3.5</v>
      </c>
      <c r="E115" s="3004"/>
      <c r="F115" s="3004"/>
      <c r="G115" s="3004"/>
      <c r="H115" s="3004"/>
      <c r="I115" s="3004"/>
      <c r="J115" s="3004"/>
      <c r="K115" s="3005"/>
      <c r="L115" s="3005"/>
      <c r="M115" s="3004"/>
      <c r="N115" s="3004"/>
      <c r="O115" s="3004"/>
      <c r="P115" s="3004"/>
      <c r="Q115" s="3004"/>
      <c r="R115" s="3004"/>
      <c r="S115" s="3004"/>
      <c r="T115" s="3004"/>
      <c r="U115" s="3004"/>
      <c r="V115" s="3001"/>
      <c r="W115" s="3001"/>
      <c r="X115" s="3001"/>
      <c r="Y115" s="3001"/>
      <c r="Z115" s="3001"/>
      <c r="AA115" s="3001"/>
      <c r="AB115" s="3001"/>
      <c r="AC115" s="3001"/>
      <c r="AD115" s="3001"/>
      <c r="AE115" s="3001"/>
      <c r="AF115" s="3001"/>
      <c r="AG115" s="3001"/>
      <c r="AH115" s="3001"/>
    </row>
    <row r="116" spans="1:34" ht="25.2" customHeight="1">
      <c r="A116" s="3037">
        <v>45</v>
      </c>
      <c r="B116" s="3037"/>
      <c r="C116" s="3007"/>
      <c r="D116" s="3004"/>
      <c r="E116" s="3004"/>
      <c r="F116" s="3004"/>
      <c r="G116" s="3004"/>
      <c r="H116" s="3004"/>
      <c r="I116" s="3004"/>
      <c r="J116" s="3004"/>
      <c r="K116" s="3005"/>
      <c r="L116" s="3005"/>
      <c r="M116" s="3004"/>
      <c r="N116" s="3004"/>
      <c r="O116" s="3004"/>
      <c r="P116" s="3004"/>
      <c r="Q116" s="3004"/>
      <c r="R116" s="3004"/>
      <c r="S116" s="3004"/>
      <c r="T116" s="3004"/>
      <c r="U116" s="3004"/>
      <c r="V116" s="3001"/>
      <c r="W116" s="3001"/>
      <c r="X116" s="3001"/>
      <c r="Y116" s="3001"/>
      <c r="Z116" s="3001"/>
      <c r="AA116" s="3001"/>
      <c r="AB116" s="3001"/>
      <c r="AC116" s="3001"/>
      <c r="AD116" s="3001"/>
      <c r="AE116" s="3001"/>
      <c r="AF116" s="3001"/>
      <c r="AG116" s="3001"/>
      <c r="AH116" s="3001"/>
    </row>
    <row r="117" spans="1:34" ht="25.2" customHeight="1">
      <c r="A117" s="3037" t="s">
        <v>6629</v>
      </c>
      <c r="B117" s="3037"/>
      <c r="C117" s="3007"/>
      <c r="D117" s="3004"/>
      <c r="E117" s="3004"/>
      <c r="F117" s="3004"/>
      <c r="G117" s="3004"/>
      <c r="H117" s="3004"/>
      <c r="I117" s="3004"/>
      <c r="J117" s="3004"/>
      <c r="K117" s="3005"/>
      <c r="L117" s="3005"/>
      <c r="M117" s="3004"/>
      <c r="N117" s="3004"/>
      <c r="O117" s="3004"/>
      <c r="P117" s="3004"/>
      <c r="Q117" s="3004"/>
      <c r="R117" s="3004"/>
      <c r="S117" s="3004"/>
      <c r="T117" s="3004"/>
      <c r="U117" s="3004"/>
      <c r="V117" s="3001"/>
      <c r="W117" s="3001"/>
      <c r="X117" s="3001"/>
      <c r="Y117" s="3001"/>
      <c r="Z117" s="3001"/>
      <c r="AA117" s="3001"/>
      <c r="AB117" s="3001"/>
      <c r="AC117" s="3001"/>
      <c r="AD117" s="3001"/>
      <c r="AE117" s="3001"/>
      <c r="AF117" s="3001"/>
      <c r="AG117" s="3001"/>
      <c r="AH117" s="3001"/>
    </row>
    <row r="118" spans="1:34" ht="25.2" customHeight="1">
      <c r="A118" s="3037">
        <v>46</v>
      </c>
      <c r="B118" s="3037"/>
      <c r="C118" s="3007"/>
      <c r="D118" s="3004"/>
      <c r="E118" s="3004"/>
      <c r="F118" s="3004"/>
      <c r="G118" s="3004"/>
      <c r="H118" s="3004"/>
      <c r="I118" s="3004"/>
      <c r="J118" s="3004"/>
      <c r="K118" s="3005"/>
      <c r="L118" s="3005"/>
      <c r="M118" s="3004"/>
      <c r="N118" s="3004"/>
      <c r="O118" s="3004"/>
      <c r="P118" s="3004"/>
      <c r="Q118" s="3004"/>
      <c r="R118" s="3004"/>
      <c r="S118" s="3004"/>
      <c r="T118" s="3004"/>
      <c r="U118" s="3004"/>
      <c r="V118" s="3001"/>
      <c r="W118" s="3001"/>
      <c r="X118" s="3001"/>
      <c r="Y118" s="3001"/>
      <c r="Z118" s="3001"/>
      <c r="AA118" s="3001"/>
      <c r="AB118" s="3001"/>
      <c r="AC118" s="3001"/>
      <c r="AD118" s="3001"/>
      <c r="AE118" s="3001"/>
      <c r="AF118" s="3001"/>
      <c r="AG118" s="3001"/>
      <c r="AH118" s="3001"/>
    </row>
    <row r="119" spans="1:34" ht="25.2" customHeight="1">
      <c r="A119" s="3037"/>
      <c r="B119" s="3037" t="s">
        <v>6653</v>
      </c>
      <c r="C119" s="3007"/>
      <c r="D119" s="3004"/>
      <c r="E119" s="3004"/>
      <c r="F119" s="3004"/>
      <c r="G119" s="3004"/>
      <c r="H119" s="3004"/>
      <c r="I119" s="3004">
        <v>1</v>
      </c>
      <c r="J119" s="3004"/>
      <c r="K119" s="3005"/>
      <c r="L119" s="3005"/>
      <c r="M119" s="3004">
        <v>1</v>
      </c>
      <c r="N119" s="3004"/>
      <c r="O119" s="3004">
        <v>8</v>
      </c>
      <c r="P119" s="3004"/>
      <c r="Q119" s="3004"/>
      <c r="R119" s="3004"/>
      <c r="S119" s="3001">
        <v>8</v>
      </c>
      <c r="T119" s="3004">
        <v>7</v>
      </c>
      <c r="U119" s="3004"/>
      <c r="V119" s="3001"/>
      <c r="W119" s="3001"/>
      <c r="X119" s="3001">
        <v>5</v>
      </c>
      <c r="Y119" s="3001">
        <v>1</v>
      </c>
      <c r="Z119" s="3001">
        <v>1</v>
      </c>
      <c r="AA119" s="3001"/>
      <c r="AB119" s="3001"/>
      <c r="AC119" s="3001"/>
      <c r="AD119" s="3001"/>
      <c r="AE119" s="3001"/>
      <c r="AF119" s="3001"/>
      <c r="AG119" s="3001"/>
      <c r="AH119" s="3001"/>
    </row>
    <row r="120" spans="1:34" ht="25.2" customHeight="1">
      <c r="A120" s="3037" t="s">
        <v>6630</v>
      </c>
      <c r="B120" s="3037"/>
      <c r="C120" s="3007"/>
      <c r="D120" s="3004"/>
      <c r="E120" s="3004"/>
      <c r="F120" s="3004"/>
      <c r="G120" s="3004"/>
      <c r="H120" s="3004"/>
      <c r="I120" s="3004"/>
      <c r="J120" s="3004"/>
      <c r="K120" s="3005"/>
      <c r="L120" s="3005">
        <v>1</v>
      </c>
      <c r="M120" s="3004"/>
      <c r="N120" s="3004"/>
      <c r="O120" s="3004">
        <v>8</v>
      </c>
      <c r="P120" s="3004"/>
      <c r="Q120" s="3004"/>
      <c r="R120" s="3004"/>
      <c r="S120" s="3001">
        <v>8</v>
      </c>
      <c r="T120" s="3004">
        <v>8</v>
      </c>
      <c r="U120" s="3004">
        <v>2</v>
      </c>
      <c r="V120" s="3001"/>
      <c r="W120" s="3001"/>
      <c r="X120" s="3001">
        <v>4</v>
      </c>
      <c r="Y120" s="3001">
        <v>1</v>
      </c>
      <c r="Z120" s="3001"/>
      <c r="AA120" s="3001">
        <v>2</v>
      </c>
      <c r="AB120" s="3001"/>
      <c r="AC120" s="3001"/>
      <c r="AD120" s="3001"/>
      <c r="AE120" s="3001"/>
      <c r="AF120" s="3001"/>
      <c r="AG120" s="3001"/>
      <c r="AH120" s="3001"/>
    </row>
    <row r="121" spans="1:34" ht="25.2" customHeight="1">
      <c r="A121" s="3037">
        <v>47</v>
      </c>
      <c r="B121" s="3037"/>
      <c r="C121" s="3007"/>
      <c r="D121" s="3004"/>
      <c r="E121" s="3004"/>
      <c r="F121" s="3004"/>
      <c r="G121" s="3004"/>
      <c r="H121" s="3004"/>
      <c r="I121" s="3004"/>
      <c r="J121" s="3004"/>
      <c r="K121" s="3005"/>
      <c r="L121" s="3005"/>
      <c r="M121" s="3004"/>
      <c r="N121" s="3004"/>
      <c r="O121" s="3004"/>
      <c r="P121" s="3004"/>
      <c r="Q121" s="3004"/>
      <c r="R121" s="3004"/>
      <c r="S121" s="3004"/>
      <c r="T121" s="3004"/>
      <c r="U121" s="3004"/>
      <c r="V121" s="3001"/>
      <c r="W121" s="3001"/>
      <c r="X121" s="3001"/>
      <c r="Y121" s="3001"/>
      <c r="Z121" s="3001"/>
      <c r="AA121" s="3001"/>
      <c r="AB121" s="3001"/>
      <c r="AC121" s="3001"/>
      <c r="AD121" s="3001"/>
      <c r="AE121" s="3001"/>
      <c r="AF121" s="3001"/>
      <c r="AG121" s="3001"/>
      <c r="AH121" s="3001"/>
    </row>
    <row r="122" spans="1:34" ht="25.2" customHeight="1">
      <c r="A122" s="3037" t="s">
        <v>6631</v>
      </c>
      <c r="B122" s="3037"/>
      <c r="C122" s="3007"/>
      <c r="D122" s="3004"/>
      <c r="E122" s="3004"/>
      <c r="F122" s="3004"/>
      <c r="G122" s="3004"/>
      <c r="H122" s="3004"/>
      <c r="I122" s="3004"/>
      <c r="J122" s="3004"/>
      <c r="K122" s="3005"/>
      <c r="L122" s="3005"/>
      <c r="M122" s="3004"/>
      <c r="N122" s="3004"/>
      <c r="O122" s="3004"/>
      <c r="P122" s="3004"/>
      <c r="Q122" s="3004"/>
      <c r="R122" s="3004"/>
      <c r="S122" s="3004"/>
      <c r="T122" s="3004"/>
      <c r="U122" s="3004"/>
      <c r="V122" s="3001"/>
      <c r="W122" s="3001"/>
      <c r="X122" s="3001"/>
      <c r="Y122" s="3001"/>
      <c r="Z122" s="3001"/>
      <c r="AA122" s="3001"/>
      <c r="AB122" s="3001"/>
      <c r="AC122" s="3001"/>
      <c r="AD122" s="3001"/>
      <c r="AE122" s="3001"/>
      <c r="AF122" s="3001"/>
      <c r="AG122" s="3001"/>
      <c r="AH122" s="3001"/>
    </row>
    <row r="123" spans="1:34" ht="25.2" customHeight="1">
      <c r="A123" s="3037">
        <v>48</v>
      </c>
      <c r="B123" s="3037"/>
      <c r="C123" s="3007"/>
      <c r="D123" s="3004"/>
      <c r="E123" s="3004"/>
      <c r="F123" s="3004"/>
      <c r="G123" s="3004"/>
      <c r="H123" s="3004"/>
      <c r="I123" s="3004"/>
      <c r="J123" s="3004"/>
      <c r="K123" s="3005"/>
      <c r="L123" s="3005"/>
      <c r="M123" s="3004"/>
      <c r="N123" s="3004"/>
      <c r="O123" s="3004"/>
      <c r="P123" s="3004"/>
      <c r="Q123" s="3004"/>
      <c r="R123" s="3004"/>
      <c r="S123" s="3004"/>
      <c r="T123" s="3004"/>
      <c r="U123" s="3004"/>
      <c r="V123" s="3001"/>
      <c r="W123" s="3001"/>
      <c r="X123" s="3001"/>
      <c r="Y123" s="3001"/>
      <c r="Z123" s="3001"/>
      <c r="AA123" s="3001"/>
      <c r="AB123" s="3001"/>
      <c r="AC123" s="3001"/>
      <c r="AD123" s="3001"/>
      <c r="AE123" s="3001"/>
      <c r="AF123" s="3001"/>
      <c r="AG123" s="3001"/>
      <c r="AH123" s="3001"/>
    </row>
    <row r="124" spans="1:34" ht="25.2" customHeight="1">
      <c r="A124" s="3037" t="s">
        <v>6632</v>
      </c>
      <c r="B124" s="3037"/>
      <c r="C124" s="3007"/>
      <c r="D124" s="3004"/>
      <c r="E124" s="3004"/>
      <c r="F124" s="3004"/>
      <c r="G124" s="3004"/>
      <c r="H124" s="3004"/>
      <c r="I124" s="3004"/>
      <c r="J124" s="3004"/>
      <c r="K124" s="3005"/>
      <c r="L124" s="3005"/>
      <c r="M124" s="3004"/>
      <c r="N124" s="3004"/>
      <c r="O124" s="3004"/>
      <c r="P124" s="3004"/>
      <c r="Q124" s="3004"/>
      <c r="R124" s="3004"/>
      <c r="S124" s="3004"/>
      <c r="T124" s="3004"/>
      <c r="U124" s="3004"/>
      <c r="V124" s="3001"/>
      <c r="W124" s="3001"/>
      <c r="X124" s="3001"/>
      <c r="Y124" s="3001"/>
      <c r="Z124" s="3001"/>
      <c r="AA124" s="3001"/>
      <c r="AB124" s="3001"/>
      <c r="AC124" s="3001"/>
      <c r="AD124" s="3001"/>
      <c r="AE124" s="3001"/>
      <c r="AF124" s="3001"/>
      <c r="AG124" s="3001"/>
      <c r="AH124" s="3001"/>
    </row>
    <row r="125" spans="1:34" ht="25.2" customHeight="1">
      <c r="A125" s="3037">
        <v>49</v>
      </c>
      <c r="B125" s="3037"/>
      <c r="C125" s="3007"/>
      <c r="D125" s="3004"/>
      <c r="E125" s="3004"/>
      <c r="F125" s="3004"/>
      <c r="G125" s="3004"/>
      <c r="H125" s="3004"/>
      <c r="I125" s="3004"/>
      <c r="J125" s="3004"/>
      <c r="K125" s="3005"/>
      <c r="L125" s="3005"/>
      <c r="M125" s="3004"/>
      <c r="N125" s="3004"/>
      <c r="O125" s="3004"/>
      <c r="P125" s="3004"/>
      <c r="Q125" s="3004"/>
      <c r="R125" s="3004"/>
      <c r="S125" s="3004"/>
      <c r="T125" s="3004"/>
      <c r="U125" s="3004"/>
      <c r="V125" s="3001"/>
      <c r="W125" s="3001"/>
      <c r="X125" s="3001"/>
      <c r="Y125" s="3001"/>
      <c r="Z125" s="3001"/>
      <c r="AA125" s="3001"/>
      <c r="AB125" s="3001"/>
      <c r="AC125" s="3001"/>
      <c r="AD125" s="3001"/>
      <c r="AE125" s="3001"/>
      <c r="AF125" s="3001"/>
      <c r="AG125" s="3001"/>
      <c r="AH125" s="3001"/>
    </row>
    <row r="126" spans="1:34" ht="25.2" customHeight="1">
      <c r="A126" s="3037" t="s">
        <v>6633</v>
      </c>
      <c r="B126" s="3037"/>
      <c r="C126" s="3007"/>
      <c r="D126" s="3004"/>
      <c r="E126" s="3004"/>
      <c r="F126" s="3004"/>
      <c r="G126" s="3004"/>
      <c r="H126" s="3004"/>
      <c r="I126" s="3004"/>
      <c r="J126" s="3004"/>
      <c r="K126" s="3005"/>
      <c r="L126" s="3005"/>
      <c r="M126" s="3004"/>
      <c r="N126" s="3004"/>
      <c r="O126" s="3004"/>
      <c r="P126" s="3004"/>
      <c r="Q126" s="3004"/>
      <c r="R126" s="3004"/>
      <c r="S126" s="3004"/>
      <c r="T126" s="3004"/>
      <c r="U126" s="3004"/>
      <c r="V126" s="3001"/>
      <c r="W126" s="3001"/>
      <c r="X126" s="3001"/>
      <c r="Y126" s="3001"/>
      <c r="Z126" s="3001"/>
      <c r="AA126" s="3001"/>
      <c r="AB126" s="3001"/>
      <c r="AC126" s="3001"/>
      <c r="AD126" s="3001"/>
      <c r="AE126" s="3001"/>
      <c r="AF126" s="3001"/>
      <c r="AG126" s="3001"/>
      <c r="AH126" s="3001"/>
    </row>
    <row r="127" spans="1:34" ht="25.2" customHeight="1">
      <c r="A127" s="3037">
        <v>50</v>
      </c>
      <c r="B127" s="3037"/>
      <c r="C127" s="3007"/>
      <c r="D127" s="3004"/>
      <c r="E127" s="3004"/>
      <c r="F127" s="3004"/>
      <c r="G127" s="3004"/>
      <c r="H127" s="3004"/>
      <c r="I127" s="3004"/>
      <c r="J127" s="3004"/>
      <c r="K127" s="3005"/>
      <c r="L127" s="3005"/>
      <c r="M127" s="3004"/>
      <c r="N127" s="3004"/>
      <c r="O127" s="3004"/>
      <c r="P127" s="3004"/>
      <c r="Q127" s="3004"/>
      <c r="R127" s="3004"/>
      <c r="S127" s="3004"/>
      <c r="T127" s="3004"/>
      <c r="U127" s="3004"/>
      <c r="V127" s="3001"/>
      <c r="W127" s="3001"/>
      <c r="X127" s="3001"/>
      <c r="Y127" s="3001"/>
      <c r="Z127" s="3001"/>
      <c r="AA127" s="3001"/>
      <c r="AB127" s="3001"/>
      <c r="AC127" s="3001"/>
      <c r="AD127" s="3001"/>
      <c r="AE127" s="3001"/>
      <c r="AF127" s="3001"/>
      <c r="AG127" s="3001"/>
      <c r="AH127" s="3001"/>
    </row>
    <row r="128" spans="1:34" ht="25.2" customHeight="1">
      <c r="A128" s="3037" t="s">
        <v>6634</v>
      </c>
      <c r="B128" s="3037"/>
      <c r="C128" s="3007"/>
      <c r="D128" s="3004"/>
      <c r="E128" s="3004"/>
      <c r="F128" s="3004"/>
      <c r="G128" s="3004"/>
      <c r="H128" s="3004"/>
      <c r="I128" s="3004"/>
      <c r="J128" s="3004"/>
      <c r="K128" s="3005"/>
      <c r="L128" s="3005"/>
      <c r="M128" s="3004"/>
      <c r="N128" s="3004"/>
      <c r="O128" s="3004"/>
      <c r="P128" s="3004"/>
      <c r="Q128" s="3004"/>
      <c r="R128" s="3004"/>
      <c r="S128" s="3004"/>
      <c r="T128" s="3004"/>
      <c r="U128" s="3004"/>
      <c r="V128" s="3001"/>
      <c r="W128" s="3001"/>
      <c r="X128" s="3001"/>
      <c r="Y128" s="3001"/>
      <c r="Z128" s="3001"/>
      <c r="AA128" s="3001"/>
      <c r="AB128" s="3001"/>
      <c r="AC128" s="3001"/>
      <c r="AD128" s="3001"/>
      <c r="AE128" s="3001"/>
      <c r="AF128" s="3001"/>
      <c r="AG128" s="3001"/>
      <c r="AH128" s="3001"/>
    </row>
    <row r="129" spans="1:34" ht="25.2" customHeight="1">
      <c r="A129" s="3037">
        <v>51</v>
      </c>
      <c r="B129" s="3037"/>
      <c r="C129" s="3007"/>
      <c r="D129" s="3004"/>
      <c r="E129" s="3004"/>
      <c r="F129" s="3004"/>
      <c r="G129" s="3004"/>
      <c r="H129" s="3004"/>
      <c r="I129" s="3004"/>
      <c r="J129" s="3004"/>
      <c r="K129" s="3005"/>
      <c r="L129" s="3005"/>
      <c r="M129" s="3004"/>
      <c r="N129" s="3004"/>
      <c r="O129" s="3004"/>
      <c r="P129" s="3004"/>
      <c r="Q129" s="3004"/>
      <c r="R129" s="3004"/>
      <c r="S129" s="3004"/>
      <c r="T129" s="3004"/>
      <c r="U129" s="3004"/>
      <c r="V129" s="3001"/>
      <c r="W129" s="3001"/>
      <c r="X129" s="3001"/>
      <c r="Y129" s="3001"/>
      <c r="Z129" s="3001"/>
      <c r="AA129" s="3001"/>
      <c r="AB129" s="3001"/>
      <c r="AC129" s="3001"/>
      <c r="AD129" s="3001"/>
      <c r="AE129" s="3001"/>
      <c r="AF129" s="3001"/>
      <c r="AG129" s="3001"/>
      <c r="AH129" s="3001"/>
    </row>
    <row r="130" spans="1:34" ht="25.2" customHeight="1">
      <c r="A130" s="3037" t="s">
        <v>6635</v>
      </c>
      <c r="B130" s="3037"/>
      <c r="C130" s="3007"/>
      <c r="D130" s="3004"/>
      <c r="E130" s="3004"/>
      <c r="F130" s="3004"/>
      <c r="G130" s="3004"/>
      <c r="H130" s="3004"/>
      <c r="I130" s="3004"/>
      <c r="J130" s="3004"/>
      <c r="K130" s="3005"/>
      <c r="L130" s="3005"/>
      <c r="M130" s="3004"/>
      <c r="N130" s="3004"/>
      <c r="O130" s="3004"/>
      <c r="P130" s="3004"/>
      <c r="Q130" s="3004"/>
      <c r="R130" s="3004"/>
      <c r="S130" s="3004"/>
      <c r="T130" s="3004"/>
      <c r="U130" s="3004"/>
      <c r="V130" s="3001"/>
      <c r="W130" s="3001"/>
      <c r="X130" s="3001"/>
      <c r="Y130" s="3001"/>
      <c r="Z130" s="3001"/>
      <c r="AA130" s="3001"/>
      <c r="AB130" s="3001"/>
      <c r="AC130" s="3001"/>
      <c r="AD130" s="3001"/>
      <c r="AE130" s="3001"/>
      <c r="AF130" s="3001"/>
      <c r="AG130" s="3001"/>
      <c r="AH130" s="3001"/>
    </row>
    <row r="131" spans="1:34" ht="25.2" customHeight="1">
      <c r="A131" s="3037">
        <v>52</v>
      </c>
      <c r="B131" s="3037"/>
      <c r="C131" s="3007"/>
      <c r="D131" s="3004"/>
      <c r="E131" s="3004"/>
      <c r="F131" s="3004"/>
      <c r="G131" s="3004"/>
      <c r="H131" s="3004"/>
      <c r="I131" s="3004"/>
      <c r="J131" s="3004"/>
      <c r="K131" s="3005"/>
      <c r="L131" s="3005"/>
      <c r="M131" s="3004"/>
      <c r="N131" s="3004"/>
      <c r="O131" s="3004"/>
      <c r="P131" s="3004"/>
      <c r="Q131" s="3004"/>
      <c r="R131" s="3004"/>
      <c r="S131" s="3004"/>
      <c r="T131" s="3004"/>
      <c r="U131" s="3004"/>
      <c r="V131" s="3001"/>
      <c r="W131" s="3001"/>
      <c r="X131" s="3001"/>
      <c r="Y131" s="3001"/>
      <c r="Z131" s="3001"/>
      <c r="AA131" s="3001"/>
      <c r="AB131" s="3001"/>
      <c r="AC131" s="3001"/>
      <c r="AD131" s="3001"/>
      <c r="AE131" s="3001"/>
      <c r="AF131" s="3001"/>
      <c r="AG131" s="3001"/>
      <c r="AH131" s="3001"/>
    </row>
    <row r="132" spans="1:34" ht="25.2" customHeight="1">
      <c r="A132" s="3037" t="s">
        <v>6636</v>
      </c>
      <c r="B132" s="3037"/>
      <c r="C132" s="3007"/>
      <c r="D132" s="3004"/>
      <c r="E132" s="3004"/>
      <c r="F132" s="3004"/>
      <c r="G132" s="3004"/>
      <c r="H132" s="3004"/>
      <c r="I132" s="3004"/>
      <c r="J132" s="3004"/>
      <c r="K132" s="3005"/>
      <c r="L132" s="3005"/>
      <c r="M132" s="3004"/>
      <c r="N132" s="3004"/>
      <c r="O132" s="3004"/>
      <c r="P132" s="3004"/>
      <c r="Q132" s="3004"/>
      <c r="R132" s="3004"/>
      <c r="S132" s="3004"/>
      <c r="T132" s="3004"/>
      <c r="U132" s="3004"/>
      <c r="V132" s="3001"/>
      <c r="W132" s="3001"/>
      <c r="X132" s="3001"/>
      <c r="Y132" s="3001"/>
      <c r="Z132" s="3001"/>
      <c r="AA132" s="3001"/>
      <c r="AB132" s="3001"/>
      <c r="AC132" s="3001"/>
      <c r="AD132" s="3001"/>
      <c r="AE132" s="3001"/>
      <c r="AF132" s="3001"/>
      <c r="AG132" s="3001"/>
      <c r="AH132" s="3001"/>
    </row>
    <row r="133" spans="1:34" ht="25.2" customHeight="1">
      <c r="A133" s="3037">
        <v>53</v>
      </c>
      <c r="B133" s="3037"/>
      <c r="C133" s="3007"/>
      <c r="D133" s="3004"/>
      <c r="E133" s="3004"/>
      <c r="F133" s="3004"/>
      <c r="G133" s="3004"/>
      <c r="H133" s="3004"/>
      <c r="I133" s="3004"/>
      <c r="J133" s="3004"/>
      <c r="K133" s="3005"/>
      <c r="L133" s="3005"/>
      <c r="M133" s="3004"/>
      <c r="N133" s="3004"/>
      <c r="O133" s="3004"/>
      <c r="P133" s="3004"/>
      <c r="Q133" s="3004"/>
      <c r="R133" s="3004"/>
      <c r="S133" s="3004"/>
      <c r="T133" s="3004"/>
      <c r="U133" s="3004"/>
      <c r="V133" s="3001"/>
      <c r="W133" s="3001"/>
      <c r="X133" s="3001"/>
      <c r="Y133" s="3001"/>
      <c r="Z133" s="3001"/>
      <c r="AA133" s="3001"/>
      <c r="AB133" s="3001"/>
      <c r="AC133" s="3001"/>
      <c r="AD133" s="3001"/>
      <c r="AE133" s="3001"/>
      <c r="AF133" s="3001"/>
      <c r="AG133" s="3001"/>
      <c r="AH133" s="3001"/>
    </row>
    <row r="134" spans="1:34" ht="25.2" customHeight="1">
      <c r="A134" s="3037" t="s">
        <v>6637</v>
      </c>
      <c r="B134" s="3037"/>
      <c r="C134" s="3007"/>
      <c r="D134" s="3004"/>
      <c r="E134" s="3004"/>
      <c r="F134" s="3004"/>
      <c r="G134" s="3004"/>
      <c r="H134" s="3004"/>
      <c r="I134" s="3004"/>
      <c r="J134" s="3004"/>
      <c r="K134" s="3005"/>
      <c r="L134" s="3005"/>
      <c r="M134" s="3004"/>
      <c r="N134" s="3004"/>
      <c r="O134" s="3004"/>
      <c r="P134" s="3004"/>
      <c r="Q134" s="3004"/>
      <c r="R134" s="3004"/>
      <c r="S134" s="3004"/>
      <c r="T134" s="3004"/>
      <c r="U134" s="3004"/>
      <c r="V134" s="3001"/>
      <c r="W134" s="3001"/>
      <c r="X134" s="3001"/>
      <c r="Y134" s="3001"/>
      <c r="Z134" s="3001"/>
      <c r="AA134" s="3001"/>
      <c r="AB134" s="3001"/>
      <c r="AC134" s="3001"/>
      <c r="AD134" s="3001"/>
      <c r="AE134" s="3001"/>
      <c r="AF134" s="3001"/>
      <c r="AG134" s="3001"/>
      <c r="AH134" s="3001"/>
    </row>
    <row r="135" spans="1:34" ht="25.2" customHeight="1">
      <c r="A135" s="3037">
        <v>54</v>
      </c>
      <c r="B135" s="3037"/>
      <c r="C135" s="3007"/>
      <c r="D135" s="3004"/>
      <c r="E135" s="3004"/>
      <c r="F135" s="3004"/>
      <c r="G135" s="3004"/>
      <c r="H135" s="3004"/>
      <c r="I135" s="3004"/>
      <c r="J135" s="3004"/>
      <c r="K135" s="3005">
        <v>1</v>
      </c>
      <c r="L135" s="3005"/>
      <c r="M135" s="3004"/>
      <c r="N135" s="3004"/>
      <c r="O135" s="3004"/>
      <c r="P135" s="3004"/>
      <c r="Q135" s="3004">
        <v>3</v>
      </c>
      <c r="R135" s="3004">
        <v>6</v>
      </c>
      <c r="S135" s="3004"/>
      <c r="T135" s="3004"/>
      <c r="U135" s="3004">
        <v>2</v>
      </c>
      <c r="V135" s="3001"/>
      <c r="W135" s="3001"/>
      <c r="X135" s="3001">
        <v>2</v>
      </c>
      <c r="Y135" s="3001">
        <v>2</v>
      </c>
      <c r="Z135" s="3001"/>
      <c r="AA135" s="3001">
        <v>2</v>
      </c>
      <c r="AB135" s="3001"/>
      <c r="AC135" s="3001"/>
      <c r="AD135" s="3001"/>
      <c r="AE135" s="3001"/>
      <c r="AF135" s="3001"/>
      <c r="AG135" s="3001"/>
      <c r="AH135" s="3001"/>
    </row>
    <row r="136" spans="1:34" ht="25.2" customHeight="1">
      <c r="A136" s="3037" t="s">
        <v>6638</v>
      </c>
      <c r="B136" s="3037"/>
      <c r="C136" s="3007"/>
      <c r="D136" s="3004"/>
      <c r="E136" s="3004"/>
      <c r="F136" s="3004"/>
      <c r="G136" s="3004"/>
      <c r="H136" s="3004"/>
      <c r="I136" s="3004"/>
      <c r="J136" s="3004"/>
      <c r="K136" s="3005"/>
      <c r="L136" s="3005">
        <v>1</v>
      </c>
      <c r="M136" s="3004"/>
      <c r="N136" s="3004"/>
      <c r="O136" s="3004">
        <v>8</v>
      </c>
      <c r="P136" s="3004"/>
      <c r="Q136" s="3004"/>
      <c r="R136" s="3004"/>
      <c r="S136" s="3001">
        <v>8</v>
      </c>
      <c r="T136" s="3004">
        <v>30</v>
      </c>
      <c r="U136" s="3004">
        <v>4</v>
      </c>
      <c r="V136" s="3001">
        <v>3</v>
      </c>
      <c r="W136" s="3001">
        <v>1</v>
      </c>
      <c r="X136" s="3001">
        <v>3</v>
      </c>
      <c r="Y136" s="3001">
        <v>1</v>
      </c>
      <c r="Z136" s="3001"/>
      <c r="AA136" s="3001">
        <v>4</v>
      </c>
      <c r="AB136" s="3001">
        <v>3</v>
      </c>
      <c r="AC136" s="3001">
        <v>48</v>
      </c>
      <c r="AD136" s="3001">
        <v>30</v>
      </c>
      <c r="AE136" s="3001">
        <v>1</v>
      </c>
      <c r="AF136" s="3001">
        <v>3</v>
      </c>
      <c r="AG136" s="3001">
        <v>1</v>
      </c>
      <c r="AH136" s="3001"/>
    </row>
    <row r="137" spans="1:34" ht="25.2" customHeight="1">
      <c r="A137" s="3037" t="s">
        <v>6639</v>
      </c>
      <c r="B137" s="3037"/>
      <c r="C137" s="3007"/>
      <c r="D137" s="3004"/>
      <c r="E137" s="3004"/>
      <c r="F137" s="3004"/>
      <c r="G137" s="3004"/>
      <c r="H137" s="3004"/>
      <c r="I137" s="3004"/>
      <c r="J137" s="3004"/>
      <c r="K137" s="3005"/>
      <c r="L137" s="3005"/>
      <c r="M137" s="3004"/>
      <c r="N137" s="3004"/>
      <c r="O137" s="3004"/>
      <c r="P137" s="3004"/>
      <c r="Q137" s="3004"/>
      <c r="R137" s="3004"/>
      <c r="S137" s="3004"/>
      <c r="T137" s="3004"/>
      <c r="U137" s="3004"/>
      <c r="V137" s="3001"/>
      <c r="W137" s="3001"/>
      <c r="X137" s="3001"/>
      <c r="Y137" s="3001"/>
      <c r="Z137" s="3001"/>
      <c r="AA137" s="3001"/>
      <c r="AB137" s="3001"/>
      <c r="AC137" s="3001"/>
      <c r="AD137" s="3001"/>
      <c r="AE137" s="3001"/>
      <c r="AF137" s="3001"/>
      <c r="AG137" s="3001"/>
      <c r="AH137" s="3001"/>
    </row>
    <row r="138" spans="1:34" ht="25.2" customHeight="1">
      <c r="A138" s="3037" t="s">
        <v>6640</v>
      </c>
      <c r="B138" s="3037"/>
      <c r="C138" s="3007"/>
      <c r="D138" s="3004"/>
      <c r="E138" s="3004"/>
      <c r="F138" s="3004"/>
      <c r="G138" s="3004"/>
      <c r="H138" s="3004"/>
      <c r="I138" s="3004"/>
      <c r="J138" s="3004"/>
      <c r="K138" s="3005"/>
      <c r="L138" s="3005"/>
      <c r="M138" s="3004"/>
      <c r="N138" s="3004"/>
      <c r="O138" s="3004"/>
      <c r="P138" s="3004"/>
      <c r="Q138" s="3004"/>
      <c r="R138" s="3004"/>
      <c r="S138" s="3004"/>
      <c r="T138" s="3004"/>
      <c r="U138" s="3004"/>
      <c r="V138" s="3001"/>
      <c r="W138" s="3001"/>
      <c r="X138" s="3001"/>
      <c r="Y138" s="3001"/>
      <c r="Z138" s="3001"/>
      <c r="AA138" s="3001"/>
      <c r="AB138" s="3001"/>
      <c r="AC138" s="3001"/>
      <c r="AD138" s="3001"/>
      <c r="AE138" s="3001"/>
      <c r="AF138" s="3001"/>
      <c r="AG138" s="3001"/>
      <c r="AH138" s="3001"/>
    </row>
    <row r="139" spans="1:34" ht="25.2" customHeight="1">
      <c r="A139" s="3037"/>
      <c r="B139" s="3037" t="s">
        <v>6654</v>
      </c>
      <c r="C139" s="3007"/>
      <c r="D139" s="3004"/>
      <c r="E139" s="3004"/>
      <c r="F139" s="3004"/>
      <c r="G139" s="3004"/>
      <c r="H139" s="3004"/>
      <c r="I139" s="3004"/>
      <c r="J139" s="3004"/>
      <c r="K139" s="3005"/>
      <c r="L139" s="3005"/>
      <c r="M139" s="3004"/>
      <c r="N139" s="3004"/>
      <c r="O139" s="3004"/>
      <c r="P139" s="3004"/>
      <c r="Q139" s="3004"/>
      <c r="R139" s="3004"/>
      <c r="S139" s="3004"/>
      <c r="T139" s="3004"/>
      <c r="U139" s="3004"/>
      <c r="V139" s="3001"/>
      <c r="W139" s="3001"/>
      <c r="X139" s="3001"/>
      <c r="Y139" s="3001"/>
      <c r="Z139" s="3001"/>
      <c r="AA139" s="3001"/>
      <c r="AB139" s="3001"/>
      <c r="AC139" s="3001"/>
      <c r="AD139" s="3001"/>
      <c r="AE139" s="3001"/>
      <c r="AF139" s="3001"/>
      <c r="AG139" s="3001"/>
      <c r="AH139" s="3001"/>
    </row>
    <row r="140" spans="1:34" ht="25.2" customHeight="1">
      <c r="A140" s="3040" t="s">
        <v>2321</v>
      </c>
      <c r="B140" s="3040"/>
      <c r="C140" s="3041">
        <f>SUM(C11:C139)</f>
        <v>0</v>
      </c>
      <c r="D140" s="3041">
        <f t="shared" ref="D140:AH140" si="14">SUM(D11:D139)</f>
        <v>4065.2</v>
      </c>
      <c r="E140" s="3041">
        <f t="shared" si="14"/>
        <v>0</v>
      </c>
      <c r="F140" s="3041">
        <f t="shared" si="14"/>
        <v>0</v>
      </c>
      <c r="G140" s="3041">
        <f t="shared" si="14"/>
        <v>0</v>
      </c>
      <c r="H140" s="3041">
        <f t="shared" ref="H140:I140" si="15">SUM(H11:H139)</f>
        <v>1</v>
      </c>
      <c r="I140" s="3041">
        <f t="shared" si="15"/>
        <v>1</v>
      </c>
      <c r="J140" s="3041">
        <f t="shared" si="14"/>
        <v>8</v>
      </c>
      <c r="K140" s="3041">
        <f t="shared" si="14"/>
        <v>1</v>
      </c>
      <c r="L140" s="3041">
        <f t="shared" si="14"/>
        <v>2</v>
      </c>
      <c r="M140" s="3041">
        <f t="shared" si="14"/>
        <v>17</v>
      </c>
      <c r="N140" s="3041">
        <f t="shared" si="14"/>
        <v>1</v>
      </c>
      <c r="O140" s="3041">
        <f t="shared" si="14"/>
        <v>216</v>
      </c>
      <c r="P140" s="3041">
        <f t="shared" si="14"/>
        <v>3</v>
      </c>
      <c r="Q140" s="3041">
        <f t="shared" si="14"/>
        <v>3</v>
      </c>
      <c r="R140" s="3041">
        <f t="shared" si="14"/>
        <v>12</v>
      </c>
      <c r="S140" s="3041">
        <f t="shared" si="14"/>
        <v>216</v>
      </c>
      <c r="T140" s="3041">
        <f t="shared" si="14"/>
        <v>272</v>
      </c>
      <c r="U140" s="3041">
        <f t="shared" si="14"/>
        <v>23</v>
      </c>
      <c r="V140" s="3041">
        <f t="shared" ref="V140" si="16">SUM(V11:V139)</f>
        <v>3</v>
      </c>
      <c r="W140" s="3041">
        <f t="shared" si="14"/>
        <v>1</v>
      </c>
      <c r="X140" s="3041">
        <f t="shared" ref="X140" si="17">SUM(X11:X139)</f>
        <v>106</v>
      </c>
      <c r="Y140" s="3041">
        <f t="shared" si="14"/>
        <v>29</v>
      </c>
      <c r="Z140" s="3041">
        <f t="shared" si="14"/>
        <v>33</v>
      </c>
      <c r="AA140" s="3041">
        <f t="shared" si="14"/>
        <v>23</v>
      </c>
      <c r="AB140" s="3041">
        <f t="shared" si="14"/>
        <v>3</v>
      </c>
      <c r="AC140" s="3041">
        <f t="shared" si="14"/>
        <v>48</v>
      </c>
      <c r="AD140" s="3041">
        <f t="shared" si="14"/>
        <v>30</v>
      </c>
      <c r="AE140" s="3041">
        <f t="shared" si="14"/>
        <v>1</v>
      </c>
      <c r="AF140" s="3041">
        <f t="shared" si="14"/>
        <v>3</v>
      </c>
      <c r="AG140" s="3041">
        <f t="shared" si="14"/>
        <v>1</v>
      </c>
      <c r="AH140" s="3041">
        <f t="shared" si="14"/>
        <v>0</v>
      </c>
    </row>
    <row r="141" spans="1:34" ht="25.2" customHeight="1">
      <c r="AA141" s="3011"/>
      <c r="AB141" s="3011"/>
      <c r="AC141" s="3011"/>
      <c r="AD141" s="3011"/>
      <c r="AE141" s="3011"/>
      <c r="AF141" s="3011"/>
      <c r="AG141" s="3011"/>
    </row>
    <row r="142" spans="1:34" ht="25.2" customHeight="1">
      <c r="AA142" s="3011"/>
      <c r="AB142" s="3011"/>
      <c r="AC142" s="3011"/>
      <c r="AD142" s="3011"/>
      <c r="AE142" s="3011"/>
      <c r="AF142" s="3011"/>
      <c r="AG142" s="3011"/>
    </row>
    <row r="143" spans="1:34" ht="25.2" customHeight="1">
      <c r="B143" s="3042"/>
      <c r="C143" s="3043"/>
      <c r="AA143" s="3011"/>
      <c r="AB143" s="3011"/>
      <c r="AC143" s="3011"/>
      <c r="AD143" s="3011"/>
      <c r="AE143" s="3011"/>
      <c r="AF143" s="3011"/>
      <c r="AG143" s="3011"/>
    </row>
    <row r="144" spans="1:34" ht="25.2" customHeight="1">
      <c r="B144" s="3042"/>
      <c r="C144" s="3043"/>
      <c r="AA144" s="3011"/>
      <c r="AB144" s="3011"/>
      <c r="AC144" s="3011"/>
      <c r="AD144" s="3011"/>
      <c r="AE144" s="3011"/>
      <c r="AF144" s="3011"/>
      <c r="AG144" s="3011"/>
    </row>
    <row r="145" spans="2:33" ht="25.2" customHeight="1">
      <c r="B145" s="3042"/>
      <c r="C145" s="3043"/>
      <c r="AA145" s="3011"/>
      <c r="AB145" s="3011"/>
      <c r="AC145" s="3011"/>
      <c r="AD145" s="3011"/>
      <c r="AE145" s="3011"/>
      <c r="AF145" s="3011"/>
      <c r="AG145" s="3011"/>
    </row>
    <row r="146" spans="2:33" ht="25.2" customHeight="1">
      <c r="AA146" s="3011"/>
      <c r="AB146" s="3011"/>
      <c r="AC146" s="3011"/>
      <c r="AD146" s="3011"/>
      <c r="AE146" s="3011"/>
      <c r="AF146" s="3011"/>
      <c r="AG146" s="3011"/>
    </row>
    <row r="147" spans="2:33" ht="25.2" customHeight="1">
      <c r="AA147" s="3011"/>
      <c r="AB147" s="3011"/>
      <c r="AC147" s="3011"/>
      <c r="AD147" s="3011"/>
      <c r="AE147" s="3011"/>
      <c r="AF147" s="3011"/>
      <c r="AG147" s="3011"/>
    </row>
    <row r="148" spans="2:33" ht="25.2" customHeight="1">
      <c r="AA148" s="3011"/>
      <c r="AB148" s="3011"/>
      <c r="AC148" s="3011"/>
      <c r="AD148" s="3011"/>
      <c r="AE148" s="3011"/>
      <c r="AF148" s="3011"/>
      <c r="AG148" s="3011"/>
    </row>
    <row r="149" spans="2:33" ht="25.2" customHeight="1">
      <c r="AA149" s="3011"/>
      <c r="AB149" s="3011"/>
      <c r="AC149" s="3011"/>
      <c r="AD149" s="3011"/>
      <c r="AE149" s="3011"/>
      <c r="AF149" s="3011"/>
      <c r="AG149" s="3011"/>
    </row>
    <row r="150" spans="2:33" ht="25.2" customHeight="1">
      <c r="AA150" s="3011"/>
      <c r="AB150" s="3011"/>
      <c r="AC150" s="3011"/>
      <c r="AD150" s="3011"/>
      <c r="AE150" s="3011"/>
      <c r="AF150" s="3011"/>
      <c r="AG150" s="3011"/>
    </row>
    <row r="151" spans="2:33" ht="25.2" customHeight="1">
      <c r="AA151" s="3011"/>
      <c r="AB151" s="3011"/>
      <c r="AC151" s="3011"/>
      <c r="AD151" s="3011"/>
      <c r="AE151" s="3011"/>
      <c r="AF151" s="3011"/>
      <c r="AG151" s="3011"/>
    </row>
    <row r="152" spans="2:33" ht="25.2" customHeight="1">
      <c r="AA152" s="3011"/>
      <c r="AB152" s="3011"/>
      <c r="AC152" s="3011"/>
      <c r="AD152" s="3011"/>
      <c r="AE152" s="3011"/>
      <c r="AF152" s="3011"/>
      <c r="AG152" s="3011"/>
    </row>
    <row r="153" spans="2:33" ht="25.2" customHeight="1">
      <c r="AA153" s="3011"/>
      <c r="AB153" s="3011"/>
      <c r="AC153" s="3011"/>
      <c r="AD153" s="3011"/>
      <c r="AE153" s="3011"/>
      <c r="AF153" s="3011"/>
      <c r="AG153" s="3011"/>
    </row>
    <row r="154" spans="2:33" ht="25.2" customHeight="1">
      <c r="AA154" s="3011"/>
      <c r="AB154" s="3011"/>
      <c r="AC154" s="3011"/>
      <c r="AD154" s="3011"/>
      <c r="AE154" s="3011"/>
      <c r="AF154" s="3011"/>
      <c r="AG154" s="3011"/>
    </row>
    <row r="155" spans="2:33" ht="25.2" customHeight="1">
      <c r="AA155" s="3011"/>
      <c r="AB155" s="3011"/>
      <c r="AC155" s="3011"/>
      <c r="AD155" s="3011"/>
      <c r="AE155" s="3011"/>
      <c r="AF155" s="3011"/>
      <c r="AG155" s="3011"/>
    </row>
    <row r="156" spans="2:33" ht="25.2" customHeight="1">
      <c r="AA156" s="3011"/>
      <c r="AB156" s="3011"/>
      <c r="AC156" s="3011"/>
      <c r="AD156" s="3011"/>
      <c r="AE156" s="3011"/>
      <c r="AF156" s="3011"/>
      <c r="AG156" s="3011"/>
    </row>
    <row r="157" spans="2:33" ht="25.2" customHeight="1">
      <c r="AA157" s="3011"/>
      <c r="AB157" s="3011"/>
      <c r="AC157" s="3011"/>
      <c r="AD157" s="3011"/>
      <c r="AE157" s="3011"/>
      <c r="AF157" s="3011"/>
      <c r="AG157" s="3011"/>
    </row>
    <row r="158" spans="2:33" ht="25.2" customHeight="1">
      <c r="AA158" s="3011"/>
      <c r="AB158" s="3011"/>
      <c r="AC158" s="3011"/>
      <c r="AD158" s="3011"/>
      <c r="AE158" s="3011"/>
      <c r="AF158" s="3011"/>
      <c r="AG158" s="3011"/>
    </row>
    <row r="159" spans="2:33" ht="25.2" customHeight="1">
      <c r="AA159" s="3011"/>
      <c r="AB159" s="3011"/>
      <c r="AC159" s="3011"/>
      <c r="AD159" s="3011"/>
      <c r="AE159" s="3011"/>
      <c r="AF159" s="3011"/>
      <c r="AG159" s="3011"/>
    </row>
    <row r="160" spans="2:33" ht="25.2" customHeight="1">
      <c r="AA160" s="3011"/>
      <c r="AB160" s="3011"/>
      <c r="AC160" s="3011"/>
      <c r="AD160" s="3011"/>
      <c r="AE160" s="3011"/>
      <c r="AF160" s="3011"/>
      <c r="AG160" s="3011"/>
    </row>
    <row r="161" spans="27:33" ht="25.2" customHeight="1">
      <c r="AA161" s="3011"/>
      <c r="AB161" s="3011"/>
      <c r="AC161" s="3011"/>
      <c r="AD161" s="3011"/>
      <c r="AE161" s="3011"/>
      <c r="AF161" s="3011"/>
      <c r="AG161" s="3011"/>
    </row>
    <row r="162" spans="27:33" ht="25.2" customHeight="1">
      <c r="AA162" s="3011"/>
      <c r="AB162" s="3011"/>
      <c r="AC162" s="3011"/>
      <c r="AD162" s="3011"/>
      <c r="AE162" s="3011"/>
      <c r="AF162" s="3011"/>
      <c r="AG162" s="3011"/>
    </row>
    <row r="163" spans="27:33" ht="25.2" customHeight="1">
      <c r="AA163" s="3011"/>
      <c r="AB163" s="3011"/>
      <c r="AC163" s="3011"/>
      <c r="AD163" s="3011"/>
      <c r="AE163" s="3011"/>
      <c r="AF163" s="3011"/>
      <c r="AG163" s="3011"/>
    </row>
    <row r="164" spans="27:33" ht="25.2" customHeight="1">
      <c r="AA164" s="3011"/>
      <c r="AB164" s="3011"/>
      <c r="AC164" s="3011"/>
      <c r="AD164" s="3011"/>
      <c r="AE164" s="3011"/>
      <c r="AF164" s="3011"/>
      <c r="AG164" s="3011"/>
    </row>
    <row r="165" spans="27:33" ht="25.2" customHeight="1">
      <c r="AA165" s="3011"/>
      <c r="AB165" s="3011"/>
      <c r="AC165" s="3011"/>
      <c r="AD165" s="3011"/>
      <c r="AE165" s="3011"/>
      <c r="AF165" s="3011"/>
      <c r="AG165" s="3011"/>
    </row>
    <row r="166" spans="27:33" ht="25.2" customHeight="1">
      <c r="AA166" s="3011"/>
      <c r="AB166" s="3011"/>
      <c r="AC166" s="3011"/>
      <c r="AD166" s="3011"/>
      <c r="AE166" s="3011"/>
      <c r="AF166" s="3011"/>
      <c r="AG166" s="3011"/>
    </row>
    <row r="167" spans="27:33" ht="25.2" customHeight="1">
      <c r="AA167" s="3011"/>
      <c r="AB167" s="3011"/>
      <c r="AC167" s="3011"/>
      <c r="AD167" s="3011"/>
      <c r="AE167" s="3011"/>
      <c r="AF167" s="3011"/>
      <c r="AG167" s="3011"/>
    </row>
    <row r="168" spans="27:33" ht="25.2" customHeight="1">
      <c r="AA168" s="3011"/>
      <c r="AB168" s="3011"/>
      <c r="AC168" s="3011"/>
      <c r="AD168" s="3011"/>
      <c r="AE168" s="3011"/>
      <c r="AF168" s="3011"/>
      <c r="AG168" s="3011"/>
    </row>
    <row r="169" spans="27:33" ht="25.2" customHeight="1">
      <c r="AA169" s="3011"/>
      <c r="AB169" s="3011"/>
      <c r="AC169" s="3011"/>
      <c r="AD169" s="3011"/>
      <c r="AE169" s="3011"/>
      <c r="AF169" s="3011"/>
      <c r="AG169" s="3011"/>
    </row>
    <row r="170" spans="27:33" ht="25.2" customHeight="1">
      <c r="AA170" s="3011"/>
      <c r="AB170" s="3011"/>
      <c r="AC170" s="3011"/>
      <c r="AD170" s="3011"/>
      <c r="AE170" s="3011"/>
      <c r="AF170" s="3011"/>
      <c r="AG170" s="3011"/>
    </row>
    <row r="171" spans="27:33" ht="25.2" customHeight="1">
      <c r="AA171" s="3011"/>
      <c r="AB171" s="3011"/>
      <c r="AC171" s="3011"/>
      <c r="AD171" s="3011"/>
      <c r="AE171" s="3011"/>
      <c r="AF171" s="3011"/>
      <c r="AG171" s="3011"/>
    </row>
    <row r="172" spans="27:33" ht="25.2" customHeight="1">
      <c r="AA172" s="3011"/>
      <c r="AB172" s="3011"/>
      <c r="AC172" s="3011"/>
      <c r="AD172" s="3011"/>
      <c r="AE172" s="3011"/>
      <c r="AF172" s="3011"/>
      <c r="AG172" s="3011"/>
    </row>
    <row r="173" spans="27:33" ht="25.2" customHeight="1">
      <c r="AA173" s="3011"/>
      <c r="AB173" s="3011"/>
      <c r="AC173" s="3011"/>
      <c r="AD173" s="3011"/>
      <c r="AE173" s="3011"/>
      <c r="AF173" s="3011"/>
      <c r="AG173" s="3011"/>
    </row>
    <row r="174" spans="27:33" ht="25.2" customHeight="1">
      <c r="AA174" s="3011"/>
      <c r="AB174" s="3011"/>
      <c r="AC174" s="3011"/>
      <c r="AD174" s="3011"/>
      <c r="AE174" s="3011"/>
      <c r="AF174" s="3011"/>
      <c r="AG174" s="3011"/>
    </row>
    <row r="175" spans="27:33" ht="25.2" customHeight="1">
      <c r="AA175" s="3011"/>
      <c r="AB175" s="3011"/>
      <c r="AC175" s="3011"/>
      <c r="AD175" s="3011"/>
      <c r="AE175" s="3011"/>
      <c r="AF175" s="3011"/>
      <c r="AG175" s="3011"/>
    </row>
    <row r="176" spans="27:33" ht="25.2" customHeight="1">
      <c r="AA176" s="3011"/>
      <c r="AB176" s="3011"/>
      <c r="AC176" s="3011"/>
      <c r="AD176" s="3011"/>
      <c r="AE176" s="3011"/>
      <c r="AF176" s="3011"/>
      <c r="AG176" s="3011"/>
    </row>
    <row r="177" spans="27:33" ht="25.2" customHeight="1">
      <c r="AA177" s="3011"/>
      <c r="AB177" s="3011"/>
      <c r="AC177" s="3011"/>
      <c r="AD177" s="3011"/>
      <c r="AE177" s="3011"/>
      <c r="AF177" s="3011"/>
      <c r="AG177" s="3011"/>
    </row>
    <row r="178" spans="27:33" ht="25.2" customHeight="1">
      <c r="AA178" s="3011"/>
      <c r="AB178" s="3011"/>
      <c r="AC178" s="3011"/>
      <c r="AD178" s="3011"/>
      <c r="AE178" s="3011"/>
      <c r="AF178" s="3011"/>
      <c r="AG178" s="3011"/>
    </row>
    <row r="179" spans="27:33" ht="25.2" customHeight="1">
      <c r="AA179" s="3011"/>
      <c r="AB179" s="3011"/>
      <c r="AC179" s="3011"/>
      <c r="AD179" s="3011"/>
      <c r="AE179" s="3011"/>
      <c r="AF179" s="3011"/>
      <c r="AG179" s="3011"/>
    </row>
    <row r="180" spans="27:33" ht="25.2" customHeight="1">
      <c r="AA180" s="3011"/>
      <c r="AB180" s="3011"/>
      <c r="AC180" s="3011"/>
      <c r="AD180" s="3011"/>
      <c r="AE180" s="3011"/>
      <c r="AF180" s="3011"/>
      <c r="AG180" s="3011"/>
    </row>
    <row r="181" spans="27:33" ht="25.2" customHeight="1">
      <c r="AA181" s="3011"/>
      <c r="AB181" s="3011"/>
      <c r="AC181" s="3011"/>
      <c r="AD181" s="3011"/>
      <c r="AE181" s="3011"/>
      <c r="AF181" s="3011"/>
      <c r="AG181" s="3011"/>
    </row>
    <row r="182" spans="27:33" ht="25.2" customHeight="1">
      <c r="AA182" s="3011"/>
      <c r="AB182" s="3011"/>
      <c r="AC182" s="3011"/>
      <c r="AD182" s="3011"/>
      <c r="AE182" s="3011"/>
      <c r="AF182" s="3011"/>
      <c r="AG182" s="3011"/>
    </row>
    <row r="183" spans="27:33" ht="25.2" customHeight="1">
      <c r="AA183" s="3011"/>
      <c r="AB183" s="3011"/>
      <c r="AC183" s="3011"/>
      <c r="AD183" s="3011"/>
      <c r="AE183" s="3011"/>
      <c r="AF183" s="3011"/>
      <c r="AG183" s="3011"/>
    </row>
    <row r="184" spans="27:33" ht="25.2" customHeight="1">
      <c r="AA184" s="3011"/>
      <c r="AB184" s="3011"/>
      <c r="AC184" s="3011"/>
      <c r="AD184" s="3011"/>
      <c r="AE184" s="3011"/>
      <c r="AF184" s="3011"/>
      <c r="AG184" s="3011"/>
    </row>
    <row r="185" spans="27:33" ht="25.2" customHeight="1">
      <c r="AA185" s="3011"/>
      <c r="AB185" s="3011"/>
      <c r="AC185" s="3011"/>
      <c r="AD185" s="3011"/>
      <c r="AE185" s="3011"/>
      <c r="AF185" s="3011"/>
      <c r="AG185" s="3011"/>
    </row>
    <row r="186" spans="27:33" ht="25.2" customHeight="1">
      <c r="AA186" s="3011"/>
      <c r="AB186" s="3011"/>
      <c r="AC186" s="3011"/>
      <c r="AD186" s="3011"/>
      <c r="AE186" s="3011"/>
      <c r="AF186" s="3011"/>
      <c r="AG186" s="3011"/>
    </row>
    <row r="187" spans="27:33" ht="25.2" customHeight="1">
      <c r="AA187" s="3011"/>
      <c r="AB187" s="3011"/>
      <c r="AC187" s="3011"/>
      <c r="AD187" s="3011"/>
      <c r="AE187" s="3011"/>
      <c r="AF187" s="3011"/>
      <c r="AG187" s="3011"/>
    </row>
    <row r="188" spans="27:33" ht="25.2" customHeight="1">
      <c r="AA188" s="3011"/>
      <c r="AB188" s="3011"/>
      <c r="AC188" s="3011"/>
      <c r="AD188" s="3011"/>
      <c r="AE188" s="3011"/>
      <c r="AF188" s="3011"/>
      <c r="AG188" s="3011"/>
    </row>
    <row r="189" spans="27:33" ht="25.2" customHeight="1">
      <c r="AA189" s="3011"/>
      <c r="AB189" s="3011"/>
      <c r="AC189" s="3011"/>
      <c r="AD189" s="3011"/>
      <c r="AE189" s="3011"/>
      <c r="AF189" s="3011"/>
      <c r="AG189" s="3011"/>
    </row>
    <row r="190" spans="27:33" ht="25.2" customHeight="1">
      <c r="AA190" s="3011"/>
      <c r="AB190" s="3011"/>
      <c r="AC190" s="3011"/>
      <c r="AD190" s="3011"/>
      <c r="AE190" s="3011"/>
      <c r="AF190" s="3011"/>
      <c r="AG190" s="3011"/>
    </row>
    <row r="191" spans="27:33" ht="25.2" customHeight="1">
      <c r="AA191" s="3011"/>
      <c r="AB191" s="3011"/>
      <c r="AC191" s="3011"/>
      <c r="AD191" s="3011"/>
      <c r="AE191" s="3011"/>
      <c r="AF191" s="3011"/>
      <c r="AG191" s="3011"/>
    </row>
    <row r="192" spans="27:33" ht="25.2" customHeight="1">
      <c r="AA192" s="3011"/>
      <c r="AB192" s="3011"/>
      <c r="AC192" s="3011"/>
      <c r="AD192" s="3011"/>
      <c r="AE192" s="3011"/>
      <c r="AF192" s="3011"/>
      <c r="AG192" s="3011"/>
    </row>
    <row r="193" spans="27:33" ht="25.2" customHeight="1">
      <c r="AA193" s="3011"/>
      <c r="AB193" s="3011"/>
      <c r="AC193" s="3011"/>
      <c r="AD193" s="3011"/>
      <c r="AE193" s="3011"/>
      <c r="AF193" s="3011"/>
      <c r="AG193" s="3011"/>
    </row>
    <row r="194" spans="27:33" ht="25.2" customHeight="1">
      <c r="AA194" s="3011"/>
      <c r="AB194" s="3011"/>
      <c r="AC194" s="3011"/>
      <c r="AD194" s="3011"/>
      <c r="AE194" s="3011"/>
      <c r="AF194" s="3011"/>
      <c r="AG194" s="3011"/>
    </row>
    <row r="195" spans="27:33" ht="25.2" customHeight="1">
      <c r="AA195" s="3011"/>
      <c r="AB195" s="3011"/>
      <c r="AC195" s="3011"/>
      <c r="AD195" s="3011"/>
      <c r="AE195" s="3011"/>
      <c r="AF195" s="3011"/>
      <c r="AG195" s="3011"/>
    </row>
    <row r="196" spans="27:33" ht="25.2" customHeight="1">
      <c r="AA196" s="3011"/>
      <c r="AB196" s="3011"/>
      <c r="AC196" s="3011"/>
      <c r="AD196" s="3011"/>
      <c r="AE196" s="3011"/>
      <c r="AF196" s="3011"/>
      <c r="AG196" s="3011"/>
    </row>
    <row r="197" spans="27:33" ht="25.2" customHeight="1">
      <c r="AA197" s="3011"/>
      <c r="AB197" s="3011"/>
      <c r="AC197" s="3011"/>
      <c r="AD197" s="3011"/>
      <c r="AE197" s="3011"/>
      <c r="AF197" s="3011"/>
      <c r="AG197" s="3011"/>
    </row>
    <row r="198" spans="27:33" ht="25.2" customHeight="1">
      <c r="AA198" s="3011"/>
      <c r="AB198" s="3011"/>
      <c r="AC198" s="3011"/>
      <c r="AD198" s="3011"/>
      <c r="AE198" s="3011"/>
      <c r="AF198" s="3011"/>
      <c r="AG198" s="3011"/>
    </row>
    <row r="199" spans="27:33" ht="25.2" customHeight="1">
      <c r="AA199" s="3011"/>
      <c r="AB199" s="3011"/>
      <c r="AC199" s="3011"/>
      <c r="AD199" s="3011"/>
      <c r="AE199" s="3011"/>
      <c r="AF199" s="3011"/>
      <c r="AG199" s="3011"/>
    </row>
    <row r="200" spans="27:33" ht="25.2" customHeight="1">
      <c r="AA200" s="3011"/>
      <c r="AB200" s="3011"/>
      <c r="AC200" s="3011"/>
      <c r="AD200" s="3011"/>
      <c r="AE200" s="3011"/>
      <c r="AF200" s="3011"/>
      <c r="AG200" s="3011"/>
    </row>
    <row r="201" spans="27:33" ht="25.2" customHeight="1">
      <c r="AA201" s="3011"/>
      <c r="AB201" s="3011"/>
      <c r="AC201" s="3011"/>
      <c r="AD201" s="3011"/>
      <c r="AE201" s="3011"/>
      <c r="AF201" s="3011"/>
      <c r="AG201" s="3011"/>
    </row>
    <row r="202" spans="27:33" ht="25.2" customHeight="1">
      <c r="AA202" s="3011"/>
      <c r="AB202" s="3011"/>
      <c r="AC202" s="3011"/>
      <c r="AD202" s="3011"/>
      <c r="AE202" s="3011"/>
      <c r="AF202" s="3011"/>
      <c r="AG202" s="3011"/>
    </row>
    <row r="203" spans="27:33" ht="25.2" customHeight="1">
      <c r="AA203" s="3011"/>
      <c r="AB203" s="3011"/>
      <c r="AC203" s="3011"/>
      <c r="AD203" s="3011"/>
      <c r="AE203" s="3011"/>
      <c r="AF203" s="3011"/>
      <c r="AG203" s="3011"/>
    </row>
    <row r="204" spans="27:33" ht="25.2" customHeight="1">
      <c r="AA204" s="3011"/>
      <c r="AB204" s="3011"/>
      <c r="AC204" s="3011"/>
      <c r="AD204" s="3011"/>
      <c r="AE204" s="3011"/>
      <c r="AF204" s="3011"/>
      <c r="AG204" s="3011"/>
    </row>
    <row r="205" spans="27:33" ht="25.2" customHeight="1">
      <c r="AA205" s="3011"/>
      <c r="AB205" s="3011"/>
      <c r="AC205" s="3011"/>
      <c r="AD205" s="3011"/>
      <c r="AE205" s="3011"/>
      <c r="AF205" s="3011"/>
      <c r="AG205" s="3011"/>
    </row>
    <row r="206" spans="27:33" ht="25.2" customHeight="1">
      <c r="AA206" s="3011"/>
      <c r="AB206" s="3011"/>
      <c r="AC206" s="3011"/>
      <c r="AD206" s="3011"/>
      <c r="AE206" s="3011"/>
      <c r="AF206" s="3011"/>
      <c r="AG206" s="3011"/>
    </row>
    <row r="207" spans="27:33" ht="25.2" customHeight="1">
      <c r="AA207" s="3011"/>
      <c r="AB207" s="3011"/>
      <c r="AC207" s="3011"/>
      <c r="AD207" s="3011"/>
      <c r="AE207" s="3011"/>
      <c r="AF207" s="3011"/>
      <c r="AG207" s="3011"/>
    </row>
    <row r="208" spans="27:33" ht="25.2" customHeight="1">
      <c r="AA208" s="3011"/>
      <c r="AB208" s="3011"/>
      <c r="AC208" s="3011"/>
      <c r="AD208" s="3011"/>
      <c r="AE208" s="3011"/>
      <c r="AF208" s="3011"/>
      <c r="AG208" s="3011"/>
    </row>
    <row r="209" spans="27:33" ht="25.2" customHeight="1">
      <c r="AA209" s="3011"/>
      <c r="AB209" s="3011"/>
      <c r="AC209" s="3011"/>
      <c r="AD209" s="3011"/>
      <c r="AE209" s="3011"/>
      <c r="AF209" s="3011"/>
      <c r="AG209" s="3011"/>
    </row>
    <row r="210" spans="27:33" ht="25.2" customHeight="1">
      <c r="AA210" s="3011"/>
      <c r="AB210" s="3011"/>
      <c r="AC210" s="3011"/>
      <c r="AD210" s="3011"/>
      <c r="AE210" s="3011"/>
      <c r="AF210" s="3011"/>
      <c r="AG210" s="3011"/>
    </row>
    <row r="211" spans="27:33" ht="25.2" customHeight="1">
      <c r="AA211" s="3011"/>
      <c r="AB211" s="3011"/>
      <c r="AC211" s="3011"/>
      <c r="AD211" s="3011"/>
      <c r="AE211" s="3011"/>
      <c r="AF211" s="3011"/>
      <c r="AG211" s="3011"/>
    </row>
    <row r="212" spans="27:33" ht="25.2" customHeight="1">
      <c r="AA212" s="3011"/>
      <c r="AB212" s="3011"/>
      <c r="AC212" s="3011"/>
      <c r="AD212" s="3011"/>
      <c r="AE212" s="3011"/>
      <c r="AF212" s="3011"/>
      <c r="AG212" s="3011"/>
    </row>
    <row r="213" spans="27:33" ht="25.2" customHeight="1">
      <c r="AA213" s="3011"/>
      <c r="AB213" s="3011"/>
      <c r="AC213" s="3011"/>
      <c r="AD213" s="3011"/>
      <c r="AE213" s="3011"/>
      <c r="AF213" s="3011"/>
      <c r="AG213" s="3011"/>
    </row>
    <row r="214" spans="27:33" ht="25.2" customHeight="1">
      <c r="AA214" s="3011"/>
      <c r="AB214" s="3011"/>
      <c r="AC214" s="3011"/>
      <c r="AD214" s="3011"/>
      <c r="AE214" s="3011"/>
      <c r="AF214" s="3011"/>
      <c r="AG214" s="3011"/>
    </row>
    <row r="215" spans="27:33" ht="25.2" customHeight="1">
      <c r="AA215" s="3011"/>
      <c r="AB215" s="3011"/>
      <c r="AC215" s="3011"/>
      <c r="AD215" s="3011"/>
      <c r="AE215" s="3011"/>
      <c r="AF215" s="3011"/>
      <c r="AG215" s="3011"/>
    </row>
    <row r="216" spans="27:33" ht="25.2" customHeight="1">
      <c r="AA216" s="3011"/>
      <c r="AB216" s="3011"/>
      <c r="AC216" s="3011"/>
      <c r="AD216" s="3011"/>
      <c r="AE216" s="3011"/>
      <c r="AF216" s="3011"/>
      <c r="AG216" s="3011"/>
    </row>
    <row r="217" spans="27:33" ht="25.2" customHeight="1">
      <c r="AA217" s="3011"/>
      <c r="AB217" s="3011"/>
      <c r="AC217" s="3011"/>
      <c r="AD217" s="3011"/>
      <c r="AE217" s="3011"/>
      <c r="AF217" s="3011"/>
      <c r="AG217" s="3011"/>
    </row>
    <row r="218" spans="27:33" ht="25.2" customHeight="1">
      <c r="AA218" s="3011"/>
      <c r="AB218" s="3011"/>
      <c r="AC218" s="3011"/>
      <c r="AD218" s="3011"/>
      <c r="AE218" s="3011"/>
      <c r="AF218" s="3011"/>
      <c r="AG218" s="3011"/>
    </row>
    <row r="219" spans="27:33" ht="25.2" customHeight="1">
      <c r="AA219" s="3011"/>
      <c r="AB219" s="3011"/>
      <c r="AC219" s="3011"/>
      <c r="AD219" s="3011"/>
      <c r="AE219" s="3011"/>
      <c r="AF219" s="3011"/>
      <c r="AG219" s="3011"/>
    </row>
    <row r="220" spans="27:33" ht="25.2" customHeight="1">
      <c r="AA220" s="3011"/>
      <c r="AB220" s="3011"/>
      <c r="AC220" s="3011"/>
      <c r="AD220" s="3011"/>
      <c r="AE220" s="3011"/>
      <c r="AF220" s="3011"/>
      <c r="AG220" s="3011"/>
    </row>
    <row r="221" spans="27:33" ht="25.2" customHeight="1">
      <c r="AA221" s="3011"/>
      <c r="AB221" s="3011"/>
      <c r="AC221" s="3011"/>
      <c r="AD221" s="3011"/>
      <c r="AE221" s="3011"/>
      <c r="AF221" s="3011"/>
      <c r="AG221" s="3011"/>
    </row>
    <row r="222" spans="27:33" ht="25.2" customHeight="1">
      <c r="AA222" s="3011"/>
      <c r="AB222" s="3011"/>
      <c r="AC222" s="3011"/>
      <c r="AD222" s="3011"/>
      <c r="AE222" s="3011"/>
      <c r="AF222" s="3011"/>
      <c r="AG222" s="3011"/>
    </row>
    <row r="223" spans="27:33" ht="25.2" customHeight="1">
      <c r="AA223" s="3011"/>
      <c r="AB223" s="3011"/>
      <c r="AC223" s="3011"/>
      <c r="AD223" s="3011"/>
      <c r="AE223" s="3011"/>
      <c r="AF223" s="3011"/>
      <c r="AG223" s="3011"/>
    </row>
    <row r="224" spans="27:33" ht="25.2" customHeight="1">
      <c r="AA224" s="3011"/>
      <c r="AB224" s="3011"/>
      <c r="AC224" s="3011"/>
      <c r="AD224" s="3011"/>
      <c r="AE224" s="3011"/>
      <c r="AF224" s="3011"/>
      <c r="AG224" s="3011"/>
    </row>
    <row r="225" spans="27:33" ht="25.2" customHeight="1">
      <c r="AA225" s="3011"/>
      <c r="AB225" s="3011"/>
      <c r="AC225" s="3011"/>
      <c r="AD225" s="3011"/>
      <c r="AE225" s="3011"/>
      <c r="AF225" s="3011"/>
      <c r="AG225" s="3011"/>
    </row>
    <row r="226" spans="27:33" ht="25.2" customHeight="1">
      <c r="AA226" s="3011"/>
      <c r="AB226" s="3011"/>
      <c r="AC226" s="3011"/>
      <c r="AD226" s="3011"/>
      <c r="AE226" s="3011"/>
      <c r="AF226" s="3011"/>
      <c r="AG226" s="3011"/>
    </row>
    <row r="227" spans="27:33" ht="25.2" customHeight="1">
      <c r="AA227" s="3011"/>
      <c r="AB227" s="3011"/>
      <c r="AC227" s="3011"/>
      <c r="AD227" s="3011"/>
      <c r="AE227" s="3011"/>
      <c r="AF227" s="3011"/>
      <c r="AG227" s="3011"/>
    </row>
    <row r="228" spans="27:33" ht="25.2" customHeight="1">
      <c r="AA228" s="3011"/>
      <c r="AB228" s="3011"/>
      <c r="AC228" s="3011"/>
      <c r="AD228" s="3011"/>
      <c r="AE228" s="3011"/>
      <c r="AF228" s="3011"/>
      <c r="AG228" s="3011"/>
    </row>
    <row r="229" spans="27:33" ht="25.2" customHeight="1">
      <c r="AA229" s="3011"/>
      <c r="AB229" s="3011"/>
      <c r="AC229" s="3011"/>
      <c r="AD229" s="3011"/>
      <c r="AE229" s="3011"/>
      <c r="AF229" s="3011"/>
      <c r="AG229" s="3011"/>
    </row>
    <row r="230" spans="27:33" ht="25.2" customHeight="1">
      <c r="AA230" s="3011"/>
      <c r="AB230" s="3011"/>
      <c r="AC230" s="3011"/>
      <c r="AD230" s="3011"/>
      <c r="AE230" s="3011"/>
      <c r="AF230" s="3011"/>
      <c r="AG230" s="3011"/>
    </row>
    <row r="231" spans="27:33" ht="25.2" customHeight="1">
      <c r="AA231" s="3011"/>
      <c r="AB231" s="3011"/>
      <c r="AC231" s="3011"/>
      <c r="AD231" s="3011"/>
      <c r="AE231" s="3011"/>
      <c r="AF231" s="3011"/>
      <c r="AG231" s="3011"/>
    </row>
    <row r="232" spans="27:33" ht="25.2" customHeight="1">
      <c r="AA232" s="3011"/>
      <c r="AB232" s="3011"/>
      <c r="AC232" s="3011"/>
      <c r="AD232" s="3011"/>
      <c r="AE232" s="3011"/>
      <c r="AF232" s="3011"/>
      <c r="AG232" s="3011"/>
    </row>
    <row r="233" spans="27:33" ht="25.2" customHeight="1">
      <c r="AA233" s="3011"/>
      <c r="AB233" s="3011"/>
      <c r="AC233" s="3011"/>
      <c r="AD233" s="3011"/>
      <c r="AE233" s="3011"/>
      <c r="AF233" s="3011"/>
      <c r="AG233" s="3011"/>
    </row>
    <row r="234" spans="27:33" ht="25.2" customHeight="1">
      <c r="AA234" s="3011"/>
      <c r="AB234" s="3011"/>
      <c r="AC234" s="3011"/>
      <c r="AD234" s="3011"/>
      <c r="AE234" s="3011"/>
      <c r="AF234" s="3011"/>
      <c r="AG234" s="3011"/>
    </row>
    <row r="235" spans="27:33" ht="25.2" customHeight="1">
      <c r="AA235" s="3011"/>
      <c r="AB235" s="3011"/>
      <c r="AC235" s="3011"/>
      <c r="AD235" s="3011"/>
      <c r="AE235" s="3011"/>
      <c r="AF235" s="3011"/>
      <c r="AG235" s="3011"/>
    </row>
    <row r="236" spans="27:33" ht="25.2" customHeight="1">
      <c r="AA236" s="3011"/>
      <c r="AB236" s="3011"/>
      <c r="AC236" s="3011"/>
      <c r="AD236" s="3011"/>
      <c r="AE236" s="3011"/>
      <c r="AF236" s="3011"/>
      <c r="AG236" s="3011"/>
    </row>
    <row r="237" spans="27:33" ht="25.2" customHeight="1">
      <c r="AA237" s="3011"/>
      <c r="AB237" s="3011"/>
      <c r="AC237" s="3011"/>
      <c r="AD237" s="3011"/>
      <c r="AE237" s="3011"/>
      <c r="AF237" s="3011"/>
      <c r="AG237" s="3011"/>
    </row>
    <row r="238" spans="27:33" ht="25.2" customHeight="1">
      <c r="AA238" s="3011"/>
      <c r="AB238" s="3011"/>
      <c r="AC238" s="3011"/>
      <c r="AD238" s="3011"/>
      <c r="AE238" s="3011"/>
      <c r="AF238" s="3011"/>
      <c r="AG238" s="3011"/>
    </row>
    <row r="239" spans="27:33" ht="25.2" customHeight="1">
      <c r="AA239" s="3011"/>
      <c r="AB239" s="3011"/>
      <c r="AC239" s="3011"/>
      <c r="AD239" s="3011"/>
      <c r="AE239" s="3011"/>
      <c r="AF239" s="3011"/>
      <c r="AG239" s="3011"/>
    </row>
    <row r="240" spans="27:33" ht="25.2" customHeight="1">
      <c r="AA240" s="3011"/>
      <c r="AB240" s="3011"/>
      <c r="AC240" s="3011"/>
      <c r="AD240" s="3011"/>
      <c r="AE240" s="3011"/>
      <c r="AF240" s="3011"/>
      <c r="AG240" s="3011"/>
    </row>
    <row r="241" spans="27:33" ht="25.2" customHeight="1">
      <c r="AA241" s="3011"/>
      <c r="AB241" s="3011"/>
      <c r="AC241" s="3011"/>
      <c r="AD241" s="3011"/>
      <c r="AE241" s="3011"/>
      <c r="AF241" s="3011"/>
      <c r="AG241" s="3011"/>
    </row>
    <row r="242" spans="27:33" ht="25.2" customHeight="1">
      <c r="AA242" s="3011"/>
      <c r="AB242" s="3011"/>
      <c r="AC242" s="3011"/>
      <c r="AD242" s="3011"/>
      <c r="AE242" s="3011"/>
      <c r="AF242" s="3011"/>
      <c r="AG242" s="3011"/>
    </row>
    <row r="243" spans="27:33" ht="25.2" customHeight="1">
      <c r="AA243" s="3011"/>
      <c r="AB243" s="3011"/>
      <c r="AC243" s="3011"/>
      <c r="AD243" s="3011"/>
      <c r="AE243" s="3011"/>
      <c r="AF243" s="3011"/>
      <c r="AG243" s="3011"/>
    </row>
    <row r="244" spans="27:33" ht="25.2" customHeight="1">
      <c r="AA244" s="3011"/>
      <c r="AB244" s="3011"/>
      <c r="AC244" s="3011"/>
      <c r="AD244" s="3011"/>
      <c r="AE244" s="3011"/>
      <c r="AF244" s="3011"/>
      <c r="AG244" s="3011"/>
    </row>
    <row r="245" spans="27:33" ht="25.2" customHeight="1">
      <c r="AA245" s="3011"/>
      <c r="AB245" s="3011"/>
      <c r="AC245" s="3011"/>
      <c r="AD245" s="3011"/>
      <c r="AE245" s="3011"/>
      <c r="AF245" s="3011"/>
      <c r="AG245" s="3011"/>
    </row>
    <row r="246" spans="27:33" ht="25.2" customHeight="1">
      <c r="AA246" s="3011"/>
      <c r="AB246" s="3011"/>
      <c r="AC246" s="3011"/>
      <c r="AD246" s="3011"/>
      <c r="AE246" s="3011"/>
      <c r="AF246" s="3011"/>
      <c r="AG246" s="3011"/>
    </row>
    <row r="247" spans="27:33" ht="25.2" customHeight="1">
      <c r="AA247" s="3011"/>
      <c r="AB247" s="3011"/>
      <c r="AC247" s="3011"/>
      <c r="AD247" s="3011"/>
      <c r="AE247" s="3011"/>
      <c r="AF247" s="3011"/>
      <c r="AG247" s="3011"/>
    </row>
    <row r="248" spans="27:33" ht="25.2" customHeight="1">
      <c r="AA248" s="3011"/>
      <c r="AB248" s="3011"/>
      <c r="AC248" s="3011"/>
      <c r="AD248" s="3011"/>
      <c r="AE248" s="3011"/>
      <c r="AF248" s="3011"/>
      <c r="AG248" s="3011"/>
    </row>
    <row r="249" spans="27:33" ht="25.2" customHeight="1">
      <c r="AA249" s="3011"/>
      <c r="AB249" s="3011"/>
      <c r="AC249" s="3011"/>
      <c r="AD249" s="3011"/>
      <c r="AE249" s="3011"/>
      <c r="AF249" s="3011"/>
      <c r="AG249" s="3011"/>
    </row>
    <row r="250" spans="27:33" ht="25.2" customHeight="1">
      <c r="AA250" s="3011"/>
      <c r="AB250" s="3011"/>
      <c r="AC250" s="3011"/>
      <c r="AD250" s="3011"/>
      <c r="AE250" s="3011"/>
      <c r="AF250" s="3011"/>
      <c r="AG250" s="3011"/>
    </row>
    <row r="251" spans="27:33" ht="25.2" customHeight="1">
      <c r="AA251" s="3011"/>
      <c r="AB251" s="3011"/>
      <c r="AC251" s="3011"/>
      <c r="AD251" s="3011"/>
      <c r="AE251" s="3011"/>
      <c r="AF251" s="3011"/>
      <c r="AG251" s="3011"/>
    </row>
    <row r="252" spans="27:33" ht="25.2" customHeight="1">
      <c r="AA252" s="3011"/>
      <c r="AB252" s="3011"/>
      <c r="AC252" s="3011"/>
      <c r="AD252" s="3011"/>
      <c r="AE252" s="3011"/>
      <c r="AF252" s="3011"/>
      <c r="AG252" s="3011"/>
    </row>
    <row r="253" spans="27:33" ht="25.2" customHeight="1">
      <c r="AA253" s="3011"/>
      <c r="AB253" s="3011"/>
      <c r="AC253" s="3011"/>
      <c r="AD253" s="3011"/>
      <c r="AE253" s="3011"/>
      <c r="AF253" s="3011"/>
      <c r="AG253" s="3011"/>
    </row>
    <row r="254" spans="27:33" ht="25.2" customHeight="1">
      <c r="AA254" s="3011"/>
      <c r="AB254" s="3011"/>
      <c r="AC254" s="3011"/>
      <c r="AD254" s="3011"/>
      <c r="AE254" s="3011"/>
      <c r="AF254" s="3011"/>
      <c r="AG254" s="3011"/>
    </row>
    <row r="255" spans="27:33" ht="25.2" customHeight="1">
      <c r="AA255" s="3011"/>
      <c r="AB255" s="3011"/>
      <c r="AC255" s="3011"/>
      <c r="AD255" s="3011"/>
      <c r="AE255" s="3011"/>
      <c r="AF255" s="3011"/>
      <c r="AG255" s="3011"/>
    </row>
    <row r="256" spans="27:33" ht="25.2" customHeight="1">
      <c r="AA256" s="3011"/>
      <c r="AB256" s="3011"/>
      <c r="AC256" s="3011"/>
      <c r="AD256" s="3011"/>
      <c r="AE256" s="3011"/>
      <c r="AF256" s="3011"/>
      <c r="AG256" s="3011"/>
    </row>
    <row r="257" spans="27:33" ht="25.2" customHeight="1">
      <c r="AA257" s="3011"/>
      <c r="AB257" s="3011"/>
      <c r="AC257" s="3011"/>
      <c r="AD257" s="3011"/>
      <c r="AE257" s="3011"/>
      <c r="AF257" s="3011"/>
      <c r="AG257" s="3011"/>
    </row>
    <row r="258" spans="27:33" ht="25.2" customHeight="1">
      <c r="AA258" s="3011"/>
      <c r="AB258" s="3011"/>
      <c r="AC258" s="3011"/>
      <c r="AD258" s="3011"/>
      <c r="AE258" s="3011"/>
      <c r="AF258" s="3011"/>
      <c r="AG258" s="3011"/>
    </row>
    <row r="259" spans="27:33" ht="25.2" customHeight="1">
      <c r="AA259" s="3011"/>
      <c r="AB259" s="3011"/>
      <c r="AC259" s="3011"/>
      <c r="AD259" s="3011"/>
      <c r="AE259" s="3011"/>
      <c r="AF259" s="3011"/>
      <c r="AG259" s="3011"/>
    </row>
    <row r="260" spans="27:33" ht="25.2" customHeight="1">
      <c r="AA260" s="3011"/>
      <c r="AB260" s="3011"/>
      <c r="AC260" s="3011"/>
      <c r="AD260" s="3011"/>
      <c r="AE260" s="3011"/>
      <c r="AF260" s="3011"/>
      <c r="AG260" s="3011"/>
    </row>
    <row r="261" spans="27:33" ht="25.2" customHeight="1">
      <c r="AA261" s="3011"/>
      <c r="AB261" s="3011"/>
      <c r="AC261" s="3011"/>
      <c r="AD261" s="3011"/>
      <c r="AE261" s="3011"/>
      <c r="AF261" s="3011"/>
      <c r="AG261" s="3011"/>
    </row>
    <row r="262" spans="27:33" ht="25.2" customHeight="1">
      <c r="AA262" s="3011"/>
      <c r="AB262" s="3011"/>
      <c r="AC262" s="3011"/>
      <c r="AD262" s="3011"/>
      <c r="AE262" s="3011"/>
      <c r="AF262" s="3011"/>
      <c r="AG262" s="3011"/>
    </row>
    <row r="263" spans="27:33" ht="25.2" customHeight="1">
      <c r="AA263" s="3011"/>
      <c r="AB263" s="3011"/>
      <c r="AC263" s="3011"/>
      <c r="AD263" s="3011"/>
      <c r="AE263" s="3011"/>
      <c r="AF263" s="3011"/>
      <c r="AG263" s="3011"/>
    </row>
    <row r="264" spans="27:33" ht="25.2" customHeight="1">
      <c r="AA264" s="3011"/>
      <c r="AB264" s="3011"/>
      <c r="AC264" s="3011"/>
      <c r="AD264" s="3011"/>
      <c r="AE264" s="3011"/>
      <c r="AF264" s="3011"/>
      <c r="AG264" s="3011"/>
    </row>
    <row r="265" spans="27:33" ht="25.2" customHeight="1">
      <c r="AA265" s="3011"/>
      <c r="AB265" s="3011"/>
      <c r="AC265" s="3011"/>
      <c r="AD265" s="3011"/>
      <c r="AE265" s="3011"/>
      <c r="AF265" s="3011"/>
      <c r="AG265" s="3011"/>
    </row>
    <row r="266" spans="27:33" ht="25.2" customHeight="1">
      <c r="AA266" s="3011"/>
      <c r="AB266" s="3011"/>
      <c r="AC266" s="3011"/>
      <c r="AD266" s="3011"/>
      <c r="AE266" s="3011"/>
      <c r="AF266" s="3011"/>
      <c r="AG266" s="3011"/>
    </row>
    <row r="267" spans="27:33" ht="25.2" customHeight="1">
      <c r="AA267" s="3011"/>
      <c r="AB267" s="3011"/>
      <c r="AC267" s="3011"/>
      <c r="AD267" s="3011"/>
      <c r="AE267" s="3011"/>
      <c r="AF267" s="3011"/>
      <c r="AG267" s="3011"/>
    </row>
    <row r="268" spans="27:33" ht="25.2" customHeight="1">
      <c r="AA268" s="3011"/>
      <c r="AB268" s="3011"/>
      <c r="AC268" s="3011"/>
      <c r="AD268" s="3011"/>
      <c r="AE268" s="3011"/>
      <c r="AF268" s="3011"/>
      <c r="AG268" s="3011"/>
    </row>
    <row r="269" spans="27:33" ht="25.2" customHeight="1">
      <c r="AA269" s="3011"/>
      <c r="AB269" s="3011"/>
      <c r="AC269" s="3011"/>
      <c r="AD269" s="3011"/>
      <c r="AE269" s="3011"/>
      <c r="AF269" s="3011"/>
      <c r="AG269" s="3011"/>
    </row>
    <row r="270" spans="27:33" ht="25.2" customHeight="1">
      <c r="AA270" s="3011"/>
      <c r="AB270" s="3011"/>
      <c r="AC270" s="3011"/>
      <c r="AD270" s="3011"/>
      <c r="AE270" s="3011"/>
      <c r="AF270" s="3011"/>
      <c r="AG270" s="3011"/>
    </row>
    <row r="271" spans="27:33" ht="25.2" customHeight="1">
      <c r="AA271" s="3011"/>
      <c r="AB271" s="3011"/>
      <c r="AC271" s="3011"/>
      <c r="AD271" s="3011"/>
      <c r="AE271" s="3011"/>
      <c r="AF271" s="3011"/>
      <c r="AG271" s="3011"/>
    </row>
    <row r="272" spans="27:33" ht="25.2" customHeight="1">
      <c r="AA272" s="3011"/>
      <c r="AB272" s="3011"/>
      <c r="AC272" s="3011"/>
      <c r="AD272" s="3011"/>
      <c r="AE272" s="3011"/>
      <c r="AF272" s="3011"/>
      <c r="AG272" s="3011"/>
    </row>
    <row r="273" spans="27:33" ht="25.2" customHeight="1">
      <c r="AA273" s="3011"/>
      <c r="AB273" s="3011"/>
      <c r="AC273" s="3011"/>
      <c r="AD273" s="3011"/>
      <c r="AE273" s="3011"/>
      <c r="AF273" s="3011"/>
      <c r="AG273" s="3011"/>
    </row>
    <row r="274" spans="27:33" ht="25.2" customHeight="1">
      <c r="AA274" s="3011"/>
      <c r="AB274" s="3011"/>
      <c r="AC274" s="3011"/>
      <c r="AD274" s="3011"/>
      <c r="AE274" s="3011"/>
      <c r="AF274" s="3011"/>
      <c r="AG274" s="3011"/>
    </row>
    <row r="275" spans="27:33" ht="25.2" customHeight="1">
      <c r="AA275" s="3011"/>
      <c r="AB275" s="3011"/>
      <c r="AC275" s="3011"/>
      <c r="AD275" s="3011"/>
      <c r="AE275" s="3011"/>
      <c r="AF275" s="3011"/>
      <c r="AG275" s="3011"/>
    </row>
    <row r="276" spans="27:33" ht="25.2" customHeight="1">
      <c r="AA276" s="3011"/>
      <c r="AB276" s="3011"/>
      <c r="AC276" s="3011"/>
      <c r="AD276" s="3011"/>
      <c r="AE276" s="3011"/>
      <c r="AF276" s="3011"/>
      <c r="AG276" s="3011"/>
    </row>
    <row r="277" spans="27:33" ht="25.2" customHeight="1">
      <c r="AA277" s="3011"/>
      <c r="AB277" s="3011"/>
      <c r="AC277" s="3011"/>
      <c r="AD277" s="3011"/>
      <c r="AE277" s="3011"/>
      <c r="AF277" s="3011"/>
      <c r="AG277" s="3011"/>
    </row>
    <row r="278" spans="27:33" ht="25.2" customHeight="1">
      <c r="AA278" s="3011"/>
      <c r="AB278" s="3011"/>
      <c r="AC278" s="3011"/>
      <c r="AD278" s="3011"/>
      <c r="AE278" s="3011"/>
      <c r="AF278" s="3011"/>
      <c r="AG278" s="3011"/>
    </row>
    <row r="279" spans="27:33" ht="25.2" customHeight="1">
      <c r="AA279" s="3011"/>
      <c r="AB279" s="3011"/>
      <c r="AC279" s="3011"/>
      <c r="AD279" s="3011"/>
      <c r="AE279" s="3011"/>
      <c r="AF279" s="3011"/>
      <c r="AG279" s="3011"/>
    </row>
    <row r="280" spans="27:33" ht="25.2" customHeight="1">
      <c r="AA280" s="3011"/>
      <c r="AB280" s="3011"/>
      <c r="AC280" s="3011"/>
      <c r="AD280" s="3011"/>
      <c r="AE280" s="3011"/>
      <c r="AF280" s="3011"/>
      <c r="AG280" s="3011"/>
    </row>
    <row r="281" spans="27:33" ht="25.2" customHeight="1">
      <c r="AA281" s="3011"/>
      <c r="AB281" s="3011"/>
      <c r="AC281" s="3011"/>
      <c r="AD281" s="3011"/>
      <c r="AE281" s="3011"/>
      <c r="AF281" s="3011"/>
      <c r="AG281" s="3011"/>
    </row>
    <row r="282" spans="27:33" ht="25.2" customHeight="1">
      <c r="AA282" s="3011"/>
      <c r="AB282" s="3011"/>
      <c r="AC282" s="3011"/>
      <c r="AD282" s="3011"/>
      <c r="AE282" s="3011"/>
      <c r="AF282" s="3011"/>
      <c r="AG282" s="3011"/>
    </row>
    <row r="283" spans="27:33" ht="25.2" customHeight="1">
      <c r="AA283" s="3011"/>
      <c r="AB283" s="3011"/>
      <c r="AC283" s="3011"/>
      <c r="AD283" s="3011"/>
      <c r="AE283" s="3011"/>
      <c r="AF283" s="3011"/>
      <c r="AG283" s="3011"/>
    </row>
    <row r="284" spans="27:33" ht="25.2" customHeight="1">
      <c r="AA284" s="3011"/>
      <c r="AB284" s="3011"/>
      <c r="AC284" s="3011"/>
      <c r="AD284" s="3011"/>
      <c r="AE284" s="3011"/>
      <c r="AF284" s="3011"/>
      <c r="AG284" s="3011"/>
    </row>
    <row r="285" spans="27:33" ht="25.2" customHeight="1">
      <c r="AA285" s="3011"/>
      <c r="AB285" s="3011"/>
      <c r="AC285" s="3011"/>
      <c r="AD285" s="3011"/>
      <c r="AE285" s="3011"/>
      <c r="AF285" s="3011"/>
      <c r="AG285" s="3011"/>
    </row>
    <row r="286" spans="27:33" ht="25.2" customHeight="1">
      <c r="AA286" s="3011"/>
      <c r="AB286" s="3011"/>
      <c r="AC286" s="3011"/>
      <c r="AD286" s="3011"/>
      <c r="AE286" s="3011"/>
      <c r="AF286" s="3011"/>
      <c r="AG286" s="3011"/>
    </row>
    <row r="287" spans="27:33" ht="25.2" customHeight="1">
      <c r="AA287" s="3011"/>
      <c r="AB287" s="3011"/>
      <c r="AC287" s="3011"/>
      <c r="AD287" s="3011"/>
      <c r="AE287" s="3011"/>
      <c r="AF287" s="3011"/>
      <c r="AG287" s="3011"/>
    </row>
    <row r="288" spans="27:33" ht="25.2" customHeight="1">
      <c r="AA288" s="3011"/>
      <c r="AB288" s="3011"/>
      <c r="AC288" s="3011"/>
      <c r="AD288" s="3011"/>
      <c r="AE288" s="3011"/>
      <c r="AF288" s="3011"/>
      <c r="AG288" s="3011"/>
    </row>
    <row r="289" spans="27:33" ht="25.2" customHeight="1">
      <c r="AA289" s="3011"/>
      <c r="AB289" s="3011"/>
      <c r="AC289" s="3011"/>
      <c r="AD289" s="3011"/>
      <c r="AE289" s="3011"/>
      <c r="AF289" s="3011"/>
      <c r="AG289" s="3011"/>
    </row>
    <row r="290" spans="27:33" ht="25.2" customHeight="1">
      <c r="AA290" s="3011"/>
      <c r="AB290" s="3011"/>
      <c r="AC290" s="3011"/>
      <c r="AD290" s="3011"/>
      <c r="AE290" s="3011"/>
      <c r="AF290" s="3011"/>
      <c r="AG290" s="3011"/>
    </row>
    <row r="291" spans="27:33" ht="25.2" customHeight="1">
      <c r="AA291" s="3011"/>
      <c r="AB291" s="3011"/>
      <c r="AC291" s="3011"/>
      <c r="AD291" s="3011"/>
      <c r="AE291" s="3011"/>
      <c r="AF291" s="3011"/>
      <c r="AG291" s="3011"/>
    </row>
    <row r="292" spans="27:33" ht="25.2" customHeight="1">
      <c r="AA292" s="3011"/>
      <c r="AB292" s="3011"/>
      <c r="AC292" s="3011"/>
      <c r="AD292" s="3011"/>
      <c r="AE292" s="3011"/>
      <c r="AF292" s="3011"/>
      <c r="AG292" s="3011"/>
    </row>
    <row r="293" spans="27:33" ht="25.2" customHeight="1">
      <c r="AA293" s="3011"/>
      <c r="AB293" s="3011"/>
      <c r="AC293" s="3011"/>
      <c r="AD293" s="3011"/>
      <c r="AE293" s="3011"/>
      <c r="AF293" s="3011"/>
      <c r="AG293" s="3011"/>
    </row>
    <row r="294" spans="27:33" ht="25.2" customHeight="1">
      <c r="AA294" s="3011"/>
      <c r="AB294" s="3011"/>
      <c r="AC294" s="3011"/>
      <c r="AD294" s="3011"/>
      <c r="AE294" s="3011"/>
      <c r="AF294" s="3011"/>
      <c r="AG294" s="3011"/>
    </row>
    <row r="295" spans="27:33" ht="25.2" customHeight="1">
      <c r="AA295" s="3011"/>
      <c r="AB295" s="3011"/>
      <c r="AC295" s="3011"/>
      <c r="AD295" s="3011"/>
      <c r="AE295" s="3011"/>
      <c r="AF295" s="3011"/>
      <c r="AG295" s="3011"/>
    </row>
    <row r="296" spans="27:33" ht="25.2" customHeight="1">
      <c r="AA296" s="3011"/>
      <c r="AB296" s="3011"/>
      <c r="AC296" s="3011"/>
      <c r="AD296" s="3011"/>
      <c r="AE296" s="3011"/>
      <c r="AF296" s="3011"/>
      <c r="AG296" s="3011"/>
    </row>
    <row r="297" spans="27:33" ht="25.2" customHeight="1">
      <c r="AA297" s="3011"/>
      <c r="AB297" s="3011"/>
      <c r="AC297" s="3011"/>
      <c r="AD297" s="3011"/>
      <c r="AE297" s="3011"/>
      <c r="AF297" s="3011"/>
      <c r="AG297" s="3011"/>
    </row>
    <row r="298" spans="27:33" ht="25.2" customHeight="1">
      <c r="AA298" s="3011"/>
      <c r="AB298" s="3011"/>
      <c r="AC298" s="3011"/>
      <c r="AD298" s="3011"/>
      <c r="AE298" s="3011"/>
      <c r="AF298" s="3011"/>
      <c r="AG298" s="3011"/>
    </row>
    <row r="299" spans="27:33" ht="25.2" customHeight="1">
      <c r="AA299" s="3011"/>
      <c r="AB299" s="3011"/>
      <c r="AC299" s="3011"/>
      <c r="AD299" s="3011"/>
      <c r="AE299" s="3011"/>
      <c r="AF299" s="3011"/>
      <c r="AG299" s="3011"/>
    </row>
    <row r="300" spans="27:33" ht="25.2" customHeight="1">
      <c r="AA300" s="3011"/>
      <c r="AB300" s="3011"/>
      <c r="AC300" s="3011"/>
      <c r="AD300" s="3011"/>
      <c r="AE300" s="3011"/>
      <c r="AF300" s="3011"/>
      <c r="AG300" s="3011"/>
    </row>
    <row r="301" spans="27:33" ht="25.2" customHeight="1">
      <c r="AA301" s="3011"/>
      <c r="AB301" s="3011"/>
      <c r="AC301" s="3011"/>
      <c r="AD301" s="3011"/>
      <c r="AE301" s="3011"/>
      <c r="AF301" s="3011"/>
      <c r="AG301" s="3011"/>
    </row>
    <row r="302" spans="27:33" ht="25.2" customHeight="1">
      <c r="AA302" s="3011"/>
      <c r="AB302" s="3011"/>
      <c r="AC302" s="3011"/>
      <c r="AD302" s="3011"/>
      <c r="AE302" s="3011"/>
      <c r="AF302" s="3011"/>
      <c r="AG302" s="3011"/>
    </row>
    <row r="303" spans="27:33" ht="25.2" customHeight="1">
      <c r="AA303" s="3011"/>
      <c r="AB303" s="3011"/>
      <c r="AC303" s="3011"/>
      <c r="AD303" s="3011"/>
      <c r="AE303" s="3011"/>
      <c r="AF303" s="3011"/>
      <c r="AG303" s="3011"/>
    </row>
    <row r="304" spans="27:33" ht="25.2" customHeight="1">
      <c r="AA304" s="3011"/>
      <c r="AB304" s="3011"/>
      <c r="AC304" s="3011"/>
      <c r="AD304" s="3011"/>
      <c r="AE304" s="3011"/>
      <c r="AF304" s="3011"/>
      <c r="AG304" s="3011"/>
    </row>
    <row r="305" spans="27:33" ht="25.2" customHeight="1">
      <c r="AA305" s="3011"/>
      <c r="AB305" s="3011"/>
      <c r="AC305" s="3011"/>
      <c r="AD305" s="3011"/>
      <c r="AE305" s="3011"/>
      <c r="AF305" s="3011"/>
      <c r="AG305" s="3011"/>
    </row>
    <row r="306" spans="27:33" ht="25.2" customHeight="1">
      <c r="AA306" s="3011"/>
      <c r="AB306" s="3011"/>
      <c r="AC306" s="3011"/>
      <c r="AD306" s="3011"/>
      <c r="AE306" s="3011"/>
      <c r="AF306" s="3011"/>
      <c r="AG306" s="3011"/>
    </row>
    <row r="307" spans="27:33" ht="25.2" customHeight="1">
      <c r="AA307" s="3011"/>
      <c r="AB307" s="3011"/>
      <c r="AC307" s="3011"/>
      <c r="AD307" s="3011"/>
      <c r="AE307" s="3011"/>
      <c r="AF307" s="3011"/>
      <c r="AG307" s="3011"/>
    </row>
    <row r="308" spans="27:33" ht="25.2" customHeight="1">
      <c r="AA308" s="3011"/>
      <c r="AB308" s="3011"/>
      <c r="AC308" s="3011"/>
      <c r="AD308" s="3011"/>
      <c r="AE308" s="3011"/>
      <c r="AF308" s="3011"/>
      <c r="AG308" s="3011"/>
    </row>
    <row r="309" spans="27:33" ht="25.2" customHeight="1">
      <c r="AA309" s="3011"/>
      <c r="AB309" s="3011"/>
      <c r="AC309" s="3011"/>
      <c r="AD309" s="3011"/>
      <c r="AE309" s="3011"/>
      <c r="AF309" s="3011"/>
      <c r="AG309" s="3011"/>
    </row>
    <row r="310" spans="27:33" ht="25.2" customHeight="1">
      <c r="AA310" s="3011"/>
      <c r="AB310" s="3011"/>
      <c r="AC310" s="3011"/>
      <c r="AD310" s="3011"/>
      <c r="AE310" s="3011"/>
      <c r="AF310" s="3011"/>
      <c r="AG310" s="3011"/>
    </row>
    <row r="311" spans="27:33" ht="25.2" customHeight="1">
      <c r="AA311" s="3011"/>
      <c r="AB311" s="3011"/>
      <c r="AC311" s="3011"/>
      <c r="AD311" s="3011"/>
      <c r="AE311" s="3011"/>
      <c r="AF311" s="3011"/>
      <c r="AG311" s="3011"/>
    </row>
    <row r="312" spans="27:33" ht="25.2" customHeight="1">
      <c r="AA312" s="3011"/>
      <c r="AB312" s="3011"/>
      <c r="AC312" s="3011"/>
      <c r="AD312" s="3011"/>
      <c r="AE312" s="3011"/>
      <c r="AF312" s="3011"/>
      <c r="AG312" s="3011"/>
    </row>
    <row r="313" spans="27:33" ht="25.2" customHeight="1">
      <c r="AA313" s="3011"/>
      <c r="AB313" s="3011"/>
      <c r="AC313" s="3011"/>
      <c r="AD313" s="3011"/>
      <c r="AE313" s="3011"/>
      <c r="AF313" s="3011"/>
      <c r="AG313" s="3011"/>
    </row>
    <row r="314" spans="27:33" ht="25.2" customHeight="1">
      <c r="AA314" s="3011"/>
      <c r="AB314" s="3011"/>
      <c r="AC314" s="3011"/>
      <c r="AD314" s="3011"/>
      <c r="AE314" s="3011"/>
      <c r="AF314" s="3011"/>
      <c r="AG314" s="3011"/>
    </row>
    <row r="315" spans="27:33" ht="25.2" customHeight="1">
      <c r="AA315" s="3011"/>
      <c r="AB315" s="3011"/>
      <c r="AC315" s="3011"/>
      <c r="AD315" s="3011"/>
      <c r="AE315" s="3011"/>
      <c r="AF315" s="3011"/>
      <c r="AG315" s="3011"/>
    </row>
    <row r="316" spans="27:33" ht="25.2" customHeight="1">
      <c r="AA316" s="3011"/>
      <c r="AB316" s="3011"/>
      <c r="AC316" s="3011"/>
      <c r="AD316" s="3011"/>
      <c r="AE316" s="3011"/>
      <c r="AF316" s="3011"/>
      <c r="AG316" s="3011"/>
    </row>
    <row r="317" spans="27:33" ht="25.2" customHeight="1">
      <c r="AA317" s="3011"/>
      <c r="AB317" s="3011"/>
      <c r="AC317" s="3011"/>
      <c r="AD317" s="3011"/>
      <c r="AE317" s="3011"/>
      <c r="AF317" s="3011"/>
      <c r="AG317" s="3011"/>
    </row>
    <row r="318" spans="27:33" ht="25.2" customHeight="1">
      <c r="AA318" s="3011"/>
      <c r="AB318" s="3011"/>
      <c r="AC318" s="3011"/>
      <c r="AD318" s="3011"/>
      <c r="AE318" s="3011"/>
      <c r="AF318" s="3011"/>
      <c r="AG318" s="3011"/>
    </row>
    <row r="319" spans="27:33" ht="25.2" customHeight="1">
      <c r="AA319" s="3011"/>
      <c r="AB319" s="3011"/>
      <c r="AC319" s="3011"/>
      <c r="AD319" s="3011"/>
      <c r="AE319" s="3011"/>
      <c r="AF319" s="3011"/>
      <c r="AG319" s="3011"/>
    </row>
    <row r="320" spans="27:33" ht="25.2" customHeight="1">
      <c r="AA320" s="3011"/>
      <c r="AB320" s="3011"/>
      <c r="AC320" s="3011"/>
      <c r="AD320" s="3011"/>
      <c r="AE320" s="3011"/>
      <c r="AF320" s="3011"/>
      <c r="AG320" s="3011"/>
    </row>
    <row r="321" spans="27:33" ht="25.2" customHeight="1">
      <c r="AA321" s="3011"/>
      <c r="AB321" s="3011"/>
      <c r="AC321" s="3011"/>
      <c r="AD321" s="3011"/>
      <c r="AE321" s="3011"/>
      <c r="AF321" s="3011"/>
      <c r="AG321" s="3011"/>
    </row>
    <row r="322" spans="27:33" ht="25.2" customHeight="1">
      <c r="AA322" s="3011"/>
      <c r="AB322" s="3011"/>
      <c r="AC322" s="3011"/>
      <c r="AD322" s="3011"/>
      <c r="AE322" s="3011"/>
      <c r="AF322" s="3011"/>
      <c r="AG322" s="3011"/>
    </row>
    <row r="323" spans="27:33" ht="25.2" customHeight="1">
      <c r="AA323" s="3011"/>
      <c r="AB323" s="3011"/>
      <c r="AC323" s="3011"/>
      <c r="AD323" s="3011"/>
      <c r="AE323" s="3011"/>
      <c r="AF323" s="3011"/>
      <c r="AG323" s="3011"/>
    </row>
    <row r="324" spans="27:33" ht="25.2" customHeight="1">
      <c r="AA324" s="3011"/>
      <c r="AB324" s="3011"/>
      <c r="AC324" s="3011"/>
      <c r="AD324" s="3011"/>
      <c r="AE324" s="3011"/>
      <c r="AF324" s="3011"/>
      <c r="AG324" s="3011"/>
    </row>
    <row r="325" spans="27:33" ht="25.2" customHeight="1">
      <c r="AA325" s="3011"/>
      <c r="AB325" s="3011"/>
      <c r="AC325" s="3011"/>
      <c r="AD325" s="3011"/>
      <c r="AE325" s="3011"/>
      <c r="AF325" s="3011"/>
      <c r="AG325" s="3011"/>
    </row>
    <row r="326" spans="27:33" ht="25.2" customHeight="1">
      <c r="AA326" s="3011"/>
      <c r="AB326" s="3011"/>
      <c r="AC326" s="3011"/>
      <c r="AD326" s="3011"/>
      <c r="AE326" s="3011"/>
      <c r="AF326" s="3011"/>
      <c r="AG326" s="3011"/>
    </row>
    <row r="327" spans="27:33" ht="25.2" customHeight="1">
      <c r="AA327" s="3011"/>
      <c r="AB327" s="3011"/>
      <c r="AC327" s="3011"/>
      <c r="AD327" s="3011"/>
      <c r="AE327" s="3011"/>
      <c r="AF327" s="3011"/>
      <c r="AG327" s="3011"/>
    </row>
    <row r="328" spans="27:33" ht="25.2" customHeight="1">
      <c r="AA328" s="3011"/>
      <c r="AB328" s="3011"/>
      <c r="AC328" s="3011"/>
      <c r="AD328" s="3011"/>
      <c r="AE328" s="3011"/>
      <c r="AF328" s="3011"/>
      <c r="AG328" s="3011"/>
    </row>
    <row r="329" spans="27:33" ht="25.2" customHeight="1">
      <c r="AA329" s="3011"/>
      <c r="AB329" s="3011"/>
      <c r="AC329" s="3011"/>
      <c r="AD329" s="3011"/>
      <c r="AE329" s="3011"/>
      <c r="AF329" s="3011"/>
      <c r="AG329" s="3011"/>
    </row>
    <row r="330" spans="27:33" ht="25.2" customHeight="1">
      <c r="AA330" s="3011"/>
      <c r="AB330" s="3011"/>
      <c r="AC330" s="3011"/>
      <c r="AD330" s="3011"/>
      <c r="AE330" s="3011"/>
      <c r="AF330" s="3011"/>
      <c r="AG330" s="3011"/>
    </row>
    <row r="331" spans="27:33" ht="25.2" customHeight="1">
      <c r="AA331" s="3011"/>
      <c r="AB331" s="3011"/>
      <c r="AC331" s="3011"/>
      <c r="AD331" s="3011"/>
      <c r="AE331" s="3011"/>
      <c r="AF331" s="3011"/>
      <c r="AG331" s="3011"/>
    </row>
    <row r="332" spans="27:33" ht="25.2" customHeight="1">
      <c r="AA332" s="3011"/>
      <c r="AB332" s="3011"/>
      <c r="AC332" s="3011"/>
      <c r="AD332" s="3011"/>
      <c r="AE332" s="3011"/>
      <c r="AF332" s="3011"/>
      <c r="AG332" s="3011"/>
    </row>
    <row r="333" spans="27:33" ht="25.2" customHeight="1">
      <c r="AA333" s="3011"/>
      <c r="AB333" s="3011"/>
      <c r="AC333" s="3011"/>
      <c r="AD333" s="3011"/>
      <c r="AE333" s="3011"/>
      <c r="AF333" s="3011"/>
      <c r="AG333" s="3011"/>
    </row>
    <row r="334" spans="27:33" ht="25.2" customHeight="1">
      <c r="AA334" s="3011"/>
      <c r="AB334" s="3011"/>
      <c r="AC334" s="3011"/>
      <c r="AD334" s="3011"/>
      <c r="AE334" s="3011"/>
      <c r="AF334" s="3011"/>
      <c r="AG334" s="3011"/>
    </row>
    <row r="335" spans="27:33" ht="25.2" customHeight="1">
      <c r="AA335" s="3011"/>
      <c r="AB335" s="3011"/>
      <c r="AC335" s="3011"/>
      <c r="AD335" s="3011"/>
      <c r="AE335" s="3011"/>
      <c r="AF335" s="3011"/>
      <c r="AG335" s="3011"/>
    </row>
    <row r="336" spans="27:33" ht="25.2" customHeight="1">
      <c r="AA336" s="3011"/>
      <c r="AB336" s="3011"/>
      <c r="AC336" s="3011"/>
      <c r="AD336" s="3011"/>
      <c r="AE336" s="3011"/>
      <c r="AF336" s="3011"/>
      <c r="AG336" s="3011"/>
    </row>
    <row r="337" spans="27:33" ht="25.2" customHeight="1">
      <c r="AA337" s="3011"/>
      <c r="AB337" s="3011"/>
      <c r="AC337" s="3011"/>
      <c r="AD337" s="3011"/>
      <c r="AE337" s="3011"/>
      <c r="AF337" s="3011"/>
      <c r="AG337" s="3011"/>
    </row>
    <row r="338" spans="27:33" ht="25.2" customHeight="1">
      <c r="AA338" s="3011"/>
      <c r="AB338" s="3011"/>
      <c r="AC338" s="3011"/>
      <c r="AD338" s="3011"/>
      <c r="AE338" s="3011"/>
      <c r="AF338" s="3011"/>
      <c r="AG338" s="3011"/>
    </row>
    <row r="339" spans="27:33" ht="25.2" customHeight="1">
      <c r="AA339" s="3011"/>
      <c r="AB339" s="3011"/>
      <c r="AC339" s="3011"/>
      <c r="AD339" s="3011"/>
      <c r="AE339" s="3011"/>
      <c r="AF339" s="3011"/>
      <c r="AG339" s="3011"/>
    </row>
    <row r="340" spans="27:33" ht="25.2" customHeight="1">
      <c r="AA340" s="3011"/>
      <c r="AB340" s="3011"/>
      <c r="AC340" s="3011"/>
      <c r="AD340" s="3011"/>
      <c r="AE340" s="3011"/>
      <c r="AF340" s="3011"/>
      <c r="AG340" s="3011"/>
    </row>
    <row r="341" spans="27:33" ht="25.2" customHeight="1">
      <c r="AA341" s="3011"/>
      <c r="AB341" s="3011"/>
      <c r="AC341" s="3011"/>
      <c r="AD341" s="3011"/>
      <c r="AE341" s="3011"/>
      <c r="AF341" s="3011"/>
      <c r="AG341" s="3011"/>
    </row>
    <row r="342" spans="27:33" ht="25.2" customHeight="1">
      <c r="AA342" s="3011"/>
      <c r="AB342" s="3011"/>
      <c r="AC342" s="3011"/>
      <c r="AD342" s="3011"/>
      <c r="AE342" s="3011"/>
      <c r="AF342" s="3011"/>
      <c r="AG342" s="3011"/>
    </row>
    <row r="343" spans="27:33" ht="25.2" customHeight="1">
      <c r="AA343" s="3011"/>
      <c r="AB343" s="3011"/>
      <c r="AC343" s="3011"/>
      <c r="AD343" s="3011"/>
      <c r="AE343" s="3011"/>
      <c r="AF343" s="3011"/>
      <c r="AG343" s="3011"/>
    </row>
    <row r="344" spans="27:33" ht="25.2" customHeight="1">
      <c r="AA344" s="3011"/>
      <c r="AB344" s="3011"/>
      <c r="AC344" s="3011"/>
      <c r="AD344" s="3011"/>
      <c r="AE344" s="3011"/>
      <c r="AF344" s="3011"/>
      <c r="AG344" s="3011"/>
    </row>
    <row r="345" spans="27:33" ht="25.2" customHeight="1">
      <c r="AA345" s="3011"/>
      <c r="AB345" s="3011"/>
      <c r="AC345" s="3011"/>
      <c r="AD345" s="3011"/>
      <c r="AE345" s="3011"/>
      <c r="AF345" s="3011"/>
      <c r="AG345" s="3011"/>
    </row>
    <row r="346" spans="27:33" ht="25.2" customHeight="1">
      <c r="AA346" s="3011"/>
      <c r="AB346" s="3011"/>
      <c r="AC346" s="3011"/>
      <c r="AD346" s="3011"/>
      <c r="AE346" s="3011"/>
      <c r="AF346" s="3011"/>
      <c r="AG346" s="3011"/>
    </row>
    <row r="347" spans="27:33" ht="25.2" customHeight="1">
      <c r="AA347" s="3011"/>
      <c r="AB347" s="3011"/>
      <c r="AC347" s="3011"/>
      <c r="AD347" s="3011"/>
      <c r="AE347" s="3011"/>
      <c r="AF347" s="3011"/>
      <c r="AG347" s="3011"/>
    </row>
    <row r="348" spans="27:33" ht="25.2" customHeight="1">
      <c r="AA348" s="3011"/>
      <c r="AB348" s="3011"/>
      <c r="AC348" s="3011"/>
      <c r="AD348" s="3011"/>
      <c r="AE348" s="3011"/>
      <c r="AF348" s="3011"/>
      <c r="AG348" s="3011"/>
    </row>
    <row r="349" spans="27:33" ht="25.2" customHeight="1">
      <c r="AA349" s="3011"/>
      <c r="AB349" s="3011"/>
      <c r="AC349" s="3011"/>
      <c r="AD349" s="3011"/>
      <c r="AE349" s="3011"/>
      <c r="AF349" s="3011"/>
      <c r="AG349" s="3011"/>
    </row>
    <row r="350" spans="27:33" ht="25.2" customHeight="1">
      <c r="AA350" s="3011"/>
      <c r="AB350" s="3011"/>
      <c r="AC350" s="3011"/>
      <c r="AD350" s="3011"/>
      <c r="AE350" s="3011"/>
      <c r="AF350" s="3011"/>
      <c r="AG350" s="3011"/>
    </row>
    <row r="351" spans="27:33" ht="25.2" customHeight="1">
      <c r="AA351" s="3011"/>
      <c r="AB351" s="3011"/>
      <c r="AC351" s="3011"/>
      <c r="AD351" s="3011"/>
      <c r="AE351" s="3011"/>
      <c r="AF351" s="3011"/>
      <c r="AG351" s="3011"/>
    </row>
    <row r="352" spans="27:33" ht="25.2" customHeight="1">
      <c r="AA352" s="3011"/>
      <c r="AB352" s="3011"/>
      <c r="AC352" s="3011"/>
      <c r="AD352" s="3011"/>
      <c r="AE352" s="3011"/>
      <c r="AF352" s="3011"/>
      <c r="AG352" s="3011"/>
    </row>
    <row r="353" spans="27:33" ht="25.2" customHeight="1">
      <c r="AA353" s="3011"/>
      <c r="AB353" s="3011"/>
      <c r="AC353" s="3011"/>
      <c r="AD353" s="3011"/>
      <c r="AE353" s="3011"/>
      <c r="AF353" s="3011"/>
      <c r="AG353" s="3011"/>
    </row>
    <row r="354" spans="27:33" ht="25.2" customHeight="1">
      <c r="AA354" s="3011"/>
      <c r="AB354" s="3011"/>
      <c r="AC354" s="3011"/>
      <c r="AD354" s="3011"/>
      <c r="AE354" s="3011"/>
      <c r="AF354" s="3011"/>
      <c r="AG354" s="3011"/>
    </row>
    <row r="355" spans="27:33" ht="25.2" customHeight="1">
      <c r="AA355" s="3011"/>
      <c r="AB355" s="3011"/>
      <c r="AC355" s="3011"/>
      <c r="AD355" s="3011"/>
      <c r="AE355" s="3011"/>
      <c r="AF355" s="3011"/>
      <c r="AG355" s="3011"/>
    </row>
    <row r="356" spans="27:33" ht="25.2" customHeight="1">
      <c r="AA356" s="3011"/>
      <c r="AB356" s="3011"/>
      <c r="AC356" s="3011"/>
      <c r="AD356" s="3011"/>
      <c r="AE356" s="3011"/>
      <c r="AF356" s="3011"/>
      <c r="AG356" s="3011"/>
    </row>
    <row r="357" spans="27:33" ht="25.2" customHeight="1">
      <c r="AA357" s="3011"/>
      <c r="AB357" s="3011"/>
      <c r="AC357" s="3011"/>
      <c r="AD357" s="3011"/>
      <c r="AE357" s="3011"/>
      <c r="AF357" s="3011"/>
      <c r="AG357" s="3011"/>
    </row>
    <row r="358" spans="27:33" ht="25.2" customHeight="1">
      <c r="AA358" s="3011"/>
      <c r="AB358" s="3011"/>
      <c r="AC358" s="3011"/>
      <c r="AD358" s="3011"/>
      <c r="AE358" s="3011"/>
      <c r="AF358" s="3011"/>
      <c r="AG358" s="3011"/>
    </row>
    <row r="359" spans="27:33" ht="25.2" customHeight="1">
      <c r="AA359" s="3011"/>
      <c r="AB359" s="3011"/>
      <c r="AC359" s="3011"/>
      <c r="AD359" s="3011"/>
      <c r="AE359" s="3011"/>
      <c r="AF359" s="3011"/>
      <c r="AG359" s="3011"/>
    </row>
    <row r="360" spans="27:33" ht="25.2" customHeight="1">
      <c r="AA360" s="3011"/>
      <c r="AB360" s="3011"/>
      <c r="AC360" s="3011"/>
      <c r="AD360" s="3011"/>
      <c r="AE360" s="3011"/>
      <c r="AF360" s="3011"/>
      <c r="AG360" s="3011"/>
    </row>
    <row r="361" spans="27:33" ht="25.2" customHeight="1">
      <c r="AA361" s="3011"/>
      <c r="AB361" s="3011"/>
      <c r="AC361" s="3011"/>
      <c r="AD361" s="3011"/>
      <c r="AE361" s="3011"/>
      <c r="AF361" s="3011"/>
      <c r="AG361" s="3011"/>
    </row>
    <row r="362" spans="27:33" ht="25.2" customHeight="1">
      <c r="AA362" s="3011"/>
      <c r="AB362" s="3011"/>
      <c r="AC362" s="3011"/>
      <c r="AD362" s="3011"/>
      <c r="AE362" s="3011"/>
      <c r="AF362" s="3011"/>
      <c r="AG362" s="3011"/>
    </row>
    <row r="363" spans="27:33" ht="25.2" customHeight="1">
      <c r="AA363" s="3011"/>
      <c r="AB363" s="3011"/>
      <c r="AC363" s="3011"/>
      <c r="AD363" s="3011"/>
      <c r="AE363" s="3011"/>
      <c r="AF363" s="3011"/>
      <c r="AG363" s="3011"/>
    </row>
    <row r="364" spans="27:33" ht="25.2" customHeight="1">
      <c r="AA364" s="3011"/>
      <c r="AB364" s="3011"/>
      <c r="AC364" s="3011"/>
      <c r="AD364" s="3011"/>
      <c r="AE364" s="3011"/>
      <c r="AF364" s="3011"/>
      <c r="AG364" s="3011"/>
    </row>
    <row r="365" spans="27:33" ht="25.2" customHeight="1">
      <c r="AA365" s="3011"/>
      <c r="AB365" s="3011"/>
      <c r="AC365" s="3011"/>
      <c r="AD365" s="3011"/>
      <c r="AE365" s="3011"/>
      <c r="AF365" s="3011"/>
      <c r="AG365" s="3011"/>
    </row>
    <row r="366" spans="27:33" ht="25.2" customHeight="1">
      <c r="AA366" s="3011"/>
      <c r="AB366" s="3011"/>
      <c r="AC366" s="3011"/>
      <c r="AD366" s="3011"/>
      <c r="AE366" s="3011"/>
      <c r="AF366" s="3011"/>
      <c r="AG366" s="3011"/>
    </row>
    <row r="367" spans="27:33" ht="25.2" customHeight="1">
      <c r="AA367" s="3011"/>
      <c r="AB367" s="3011"/>
      <c r="AC367" s="3011"/>
      <c r="AD367" s="3011"/>
      <c r="AE367" s="3011"/>
      <c r="AF367" s="3011"/>
      <c r="AG367" s="3011"/>
    </row>
    <row r="368" spans="27:33" ht="25.2" customHeight="1">
      <c r="AA368" s="3011"/>
      <c r="AB368" s="3011"/>
      <c r="AC368" s="3011"/>
      <c r="AD368" s="3011"/>
      <c r="AE368" s="3011"/>
      <c r="AF368" s="3011"/>
      <c r="AG368" s="3011"/>
    </row>
    <row r="369" spans="27:33" ht="25.2" customHeight="1">
      <c r="AA369" s="3011"/>
      <c r="AB369" s="3011"/>
      <c r="AC369" s="3011"/>
      <c r="AD369" s="3011"/>
      <c r="AE369" s="3011"/>
      <c r="AF369" s="3011"/>
      <c r="AG369" s="3011"/>
    </row>
    <row r="370" spans="27:33" ht="25.2" customHeight="1">
      <c r="AA370" s="3011"/>
      <c r="AB370" s="3011"/>
      <c r="AC370" s="3011"/>
      <c r="AD370" s="3011"/>
      <c r="AE370" s="3011"/>
      <c r="AF370" s="3011"/>
      <c r="AG370" s="3011"/>
    </row>
    <row r="371" spans="27:33" ht="25.2" customHeight="1">
      <c r="AA371" s="3011"/>
      <c r="AB371" s="3011"/>
      <c r="AC371" s="3011"/>
      <c r="AD371" s="3011"/>
      <c r="AE371" s="3011"/>
      <c r="AF371" s="3011"/>
      <c r="AG371" s="3011"/>
    </row>
    <row r="372" spans="27:33" ht="25.2" customHeight="1">
      <c r="AA372" s="3011"/>
      <c r="AB372" s="3011"/>
      <c r="AC372" s="3011"/>
      <c r="AD372" s="3011"/>
      <c r="AE372" s="3011"/>
      <c r="AF372" s="3011"/>
      <c r="AG372" s="3011"/>
    </row>
    <row r="373" spans="27:33" ht="25.2" customHeight="1">
      <c r="AA373" s="3011"/>
      <c r="AB373" s="3011"/>
      <c r="AC373" s="3011"/>
      <c r="AD373" s="3011"/>
      <c r="AE373" s="3011"/>
      <c r="AF373" s="3011"/>
      <c r="AG373" s="3011"/>
    </row>
    <row r="374" spans="27:33" ht="25.2" customHeight="1">
      <c r="AA374" s="3011"/>
      <c r="AB374" s="3011"/>
      <c r="AC374" s="3011"/>
      <c r="AD374" s="3011"/>
      <c r="AE374" s="3011"/>
      <c r="AF374" s="3011"/>
      <c r="AG374" s="3011"/>
    </row>
    <row r="375" spans="27:33" ht="25.2" customHeight="1">
      <c r="AA375" s="3011"/>
      <c r="AB375" s="3011"/>
      <c r="AC375" s="3011"/>
      <c r="AD375" s="3011"/>
      <c r="AE375" s="3011"/>
      <c r="AF375" s="3011"/>
      <c r="AG375" s="3011"/>
    </row>
    <row r="376" spans="27:33" ht="25.2" customHeight="1">
      <c r="AA376" s="3011"/>
      <c r="AB376" s="3011"/>
      <c r="AC376" s="3011"/>
      <c r="AD376" s="3011"/>
      <c r="AE376" s="3011"/>
      <c r="AF376" s="3011"/>
      <c r="AG376" s="3011"/>
    </row>
    <row r="377" spans="27:33" ht="25.2" customHeight="1">
      <c r="AA377" s="3011"/>
      <c r="AB377" s="3011"/>
      <c r="AC377" s="3011"/>
      <c r="AD377" s="3011"/>
      <c r="AE377" s="3011"/>
      <c r="AF377" s="3011"/>
      <c r="AG377" s="3011"/>
    </row>
    <row r="378" spans="27:33" ht="25.2" customHeight="1">
      <c r="AA378" s="3011"/>
      <c r="AB378" s="3011"/>
      <c r="AC378" s="3011"/>
      <c r="AD378" s="3011"/>
      <c r="AE378" s="3011"/>
      <c r="AF378" s="3011"/>
      <c r="AG378" s="3011"/>
    </row>
    <row r="379" spans="27:33" ht="25.2" customHeight="1">
      <c r="AA379" s="3011"/>
      <c r="AB379" s="3011"/>
      <c r="AC379" s="3011"/>
      <c r="AD379" s="3011"/>
      <c r="AE379" s="3011"/>
      <c r="AF379" s="3011"/>
      <c r="AG379" s="3011"/>
    </row>
    <row r="380" spans="27:33" ht="25.2" customHeight="1">
      <c r="AA380" s="3011"/>
      <c r="AB380" s="3011"/>
      <c r="AC380" s="3011"/>
      <c r="AD380" s="3011"/>
      <c r="AE380" s="3011"/>
      <c r="AF380" s="3011"/>
      <c r="AG380" s="3011"/>
    </row>
    <row r="381" spans="27:33" ht="25.2" customHeight="1">
      <c r="AA381" s="3011"/>
      <c r="AB381" s="3011"/>
      <c r="AC381" s="3011"/>
      <c r="AD381" s="3011"/>
      <c r="AE381" s="3011"/>
      <c r="AF381" s="3011"/>
      <c r="AG381" s="3011"/>
    </row>
    <row r="382" spans="27:33" ht="25.2" customHeight="1">
      <c r="AA382" s="3011"/>
      <c r="AB382" s="3011"/>
      <c r="AC382" s="3011"/>
      <c r="AD382" s="3011"/>
      <c r="AE382" s="3011"/>
      <c r="AF382" s="3011"/>
      <c r="AG382" s="3011"/>
    </row>
    <row r="383" spans="27:33" ht="25.2" customHeight="1">
      <c r="AA383" s="3011"/>
      <c r="AB383" s="3011"/>
      <c r="AC383" s="3011"/>
      <c r="AD383" s="3011"/>
      <c r="AE383" s="3011"/>
      <c r="AF383" s="3011"/>
      <c r="AG383" s="3011"/>
    </row>
    <row r="384" spans="27:33" ht="25.2" customHeight="1">
      <c r="AA384" s="3011"/>
      <c r="AB384" s="3011"/>
      <c r="AC384" s="3011"/>
      <c r="AD384" s="3011"/>
      <c r="AE384" s="3011"/>
      <c r="AF384" s="3011"/>
      <c r="AG384" s="3011"/>
    </row>
    <row r="385" spans="27:33" ht="25.2" customHeight="1">
      <c r="AA385" s="3011"/>
      <c r="AB385" s="3011"/>
      <c r="AC385" s="3011"/>
      <c r="AD385" s="3011"/>
      <c r="AE385" s="3011"/>
      <c r="AF385" s="3011"/>
      <c r="AG385" s="3011"/>
    </row>
    <row r="386" spans="27:33" ht="25.2" customHeight="1">
      <c r="AA386" s="3011"/>
      <c r="AB386" s="3011"/>
      <c r="AC386" s="3011"/>
      <c r="AD386" s="3011"/>
      <c r="AE386" s="3011"/>
      <c r="AF386" s="3011"/>
      <c r="AG386" s="3011"/>
    </row>
    <row r="387" spans="27:33" ht="25.2" customHeight="1">
      <c r="AA387" s="3011"/>
      <c r="AB387" s="3011"/>
      <c r="AC387" s="3011"/>
      <c r="AD387" s="3011"/>
      <c r="AE387" s="3011"/>
      <c r="AF387" s="3011"/>
      <c r="AG387" s="3011"/>
    </row>
    <row r="388" spans="27:33" ht="25.2" customHeight="1">
      <c r="AA388" s="3011"/>
      <c r="AB388" s="3011"/>
      <c r="AC388" s="3011"/>
      <c r="AD388" s="3011"/>
      <c r="AE388" s="3011"/>
      <c r="AF388" s="3011"/>
      <c r="AG388" s="3011"/>
    </row>
    <row r="389" spans="27:33" ht="25.2" customHeight="1">
      <c r="AA389" s="3011"/>
      <c r="AB389" s="3011"/>
      <c r="AC389" s="3011"/>
      <c r="AD389" s="3011"/>
      <c r="AE389" s="3011"/>
      <c r="AF389" s="3011"/>
      <c r="AG389" s="3011"/>
    </row>
    <row r="390" spans="27:33" ht="25.2" customHeight="1">
      <c r="AA390" s="3011"/>
      <c r="AB390" s="3011"/>
      <c r="AC390" s="3011"/>
      <c r="AD390" s="3011"/>
      <c r="AE390" s="3011"/>
      <c r="AF390" s="3011"/>
      <c r="AG390" s="3011"/>
    </row>
    <row r="391" spans="27:33" ht="25.2" customHeight="1">
      <c r="AA391" s="3011"/>
      <c r="AB391" s="3011"/>
      <c r="AC391" s="3011"/>
      <c r="AD391" s="3011"/>
      <c r="AE391" s="3011"/>
      <c r="AF391" s="3011"/>
      <c r="AG391" s="3011"/>
    </row>
    <row r="392" spans="27:33" ht="25.2" customHeight="1">
      <c r="AA392" s="3011"/>
      <c r="AB392" s="3011"/>
      <c r="AC392" s="3011"/>
      <c r="AD392" s="3011"/>
      <c r="AE392" s="3011"/>
      <c r="AF392" s="3011"/>
      <c r="AG392" s="3011"/>
    </row>
    <row r="393" spans="27:33" ht="25.2" customHeight="1">
      <c r="AA393" s="3011"/>
      <c r="AB393" s="3011"/>
      <c r="AC393" s="3011"/>
      <c r="AD393" s="3011"/>
      <c r="AE393" s="3011"/>
      <c r="AF393" s="3011"/>
      <c r="AG393" s="3011"/>
    </row>
    <row r="394" spans="27:33" ht="25.2" customHeight="1">
      <c r="AA394" s="3011"/>
      <c r="AB394" s="3011"/>
      <c r="AC394" s="3011"/>
      <c r="AD394" s="3011"/>
      <c r="AE394" s="3011"/>
      <c r="AF394" s="3011"/>
      <c r="AG394" s="3011"/>
    </row>
    <row r="395" spans="27:33" ht="25.2" customHeight="1">
      <c r="AA395" s="3011"/>
      <c r="AB395" s="3011"/>
      <c r="AC395" s="3011"/>
      <c r="AD395" s="3011"/>
      <c r="AE395" s="3011"/>
      <c r="AF395" s="3011"/>
      <c r="AG395" s="3011"/>
    </row>
    <row r="396" spans="27:33" ht="25.2" customHeight="1">
      <c r="AA396" s="3011"/>
      <c r="AB396" s="3011"/>
      <c r="AC396" s="3011"/>
      <c r="AD396" s="3011"/>
      <c r="AE396" s="3011"/>
      <c r="AF396" s="3011"/>
      <c r="AG396" s="3011"/>
    </row>
    <row r="397" spans="27:33" ht="25.2" customHeight="1">
      <c r="AA397" s="3011"/>
      <c r="AB397" s="3011"/>
      <c r="AC397" s="3011"/>
      <c r="AD397" s="3011"/>
      <c r="AE397" s="3011"/>
      <c r="AF397" s="3011"/>
      <c r="AG397" s="3011"/>
    </row>
    <row r="398" spans="27:33" ht="25.2" customHeight="1">
      <c r="AA398" s="3011"/>
      <c r="AB398" s="3011"/>
      <c r="AC398" s="3011"/>
      <c r="AD398" s="3011"/>
      <c r="AE398" s="3011"/>
      <c r="AF398" s="3011"/>
      <c r="AG398" s="3011"/>
    </row>
    <row r="399" spans="27:33" ht="25.2" customHeight="1">
      <c r="AA399" s="3011"/>
      <c r="AB399" s="3011"/>
      <c r="AC399" s="3011"/>
      <c r="AD399" s="3011"/>
      <c r="AE399" s="3011"/>
      <c r="AF399" s="3011"/>
      <c r="AG399" s="3011"/>
    </row>
    <row r="400" spans="27:33" ht="25.2" customHeight="1">
      <c r="AA400" s="3011"/>
      <c r="AB400" s="3011"/>
      <c r="AC400" s="3011"/>
      <c r="AD400" s="3011"/>
      <c r="AE400" s="3011"/>
      <c r="AF400" s="3011"/>
      <c r="AG400" s="3011"/>
    </row>
    <row r="401" spans="27:33" ht="25.2" customHeight="1">
      <c r="AA401" s="3011"/>
      <c r="AB401" s="3011"/>
      <c r="AC401" s="3011"/>
      <c r="AD401" s="3011"/>
      <c r="AE401" s="3011"/>
      <c r="AF401" s="3011"/>
      <c r="AG401" s="3011"/>
    </row>
    <row r="402" spans="27:33" ht="25.2" customHeight="1">
      <c r="AA402" s="3011"/>
      <c r="AB402" s="3011"/>
      <c r="AC402" s="3011"/>
      <c r="AD402" s="3011"/>
      <c r="AE402" s="3011"/>
      <c r="AF402" s="3011"/>
      <c r="AG402" s="3011"/>
    </row>
    <row r="403" spans="27:33" ht="25.2" customHeight="1">
      <c r="AA403" s="3011"/>
      <c r="AB403" s="3011"/>
      <c r="AC403" s="3011"/>
      <c r="AD403" s="3011"/>
      <c r="AE403" s="3011"/>
      <c r="AF403" s="3011"/>
      <c r="AG403" s="3011"/>
    </row>
    <row r="404" spans="27:33" ht="25.2" customHeight="1">
      <c r="AA404" s="3011"/>
      <c r="AB404" s="3011"/>
      <c r="AC404" s="3011"/>
      <c r="AD404" s="3011"/>
      <c r="AE404" s="3011"/>
      <c r="AF404" s="3011"/>
      <c r="AG404" s="3011"/>
    </row>
    <row r="405" spans="27:33" ht="25.2" customHeight="1">
      <c r="AA405" s="3011"/>
      <c r="AB405" s="3011"/>
      <c r="AC405" s="3011"/>
      <c r="AD405" s="3011"/>
      <c r="AE405" s="3011"/>
      <c r="AF405" s="3011"/>
      <c r="AG405" s="3011"/>
    </row>
    <row r="406" spans="27:33" ht="25.2" customHeight="1">
      <c r="AA406" s="3011"/>
      <c r="AB406" s="3011"/>
      <c r="AC406" s="3011"/>
      <c r="AD406" s="3011"/>
      <c r="AE406" s="3011"/>
      <c r="AF406" s="3011"/>
      <c r="AG406" s="3011"/>
    </row>
    <row r="407" spans="27:33" ht="25.2" customHeight="1">
      <c r="AA407" s="3011"/>
      <c r="AB407" s="3011"/>
      <c r="AC407" s="3011"/>
      <c r="AD407" s="3011"/>
      <c r="AE407" s="3011"/>
      <c r="AF407" s="3011"/>
      <c r="AG407" s="3011"/>
    </row>
    <row r="408" spans="27:33" ht="25.2" customHeight="1">
      <c r="AA408" s="3011"/>
      <c r="AB408" s="3011"/>
      <c r="AC408" s="3011"/>
      <c r="AD408" s="3011"/>
      <c r="AE408" s="3011"/>
      <c r="AF408" s="3011"/>
      <c r="AG408" s="3011"/>
    </row>
    <row r="409" spans="27:33" ht="25.2" customHeight="1">
      <c r="AA409" s="3011"/>
      <c r="AB409" s="3011"/>
      <c r="AC409" s="3011"/>
      <c r="AD409" s="3011"/>
      <c r="AE409" s="3011"/>
      <c r="AF409" s="3011"/>
      <c r="AG409" s="3011"/>
    </row>
    <row r="410" spans="27:33" ht="25.2" customHeight="1">
      <c r="AA410" s="3011"/>
      <c r="AB410" s="3011"/>
      <c r="AC410" s="3011"/>
      <c r="AD410" s="3011"/>
      <c r="AE410" s="3011"/>
      <c r="AF410" s="3011"/>
      <c r="AG410" s="3011"/>
    </row>
    <row r="411" spans="27:33" ht="25.2" customHeight="1">
      <c r="AA411" s="3011"/>
      <c r="AB411" s="3011"/>
      <c r="AC411" s="3011"/>
      <c r="AD411" s="3011"/>
      <c r="AE411" s="3011"/>
      <c r="AF411" s="3011"/>
      <c r="AG411" s="3011"/>
    </row>
    <row r="412" spans="27:33" ht="25.2" customHeight="1">
      <c r="AA412" s="3011"/>
      <c r="AB412" s="3011"/>
      <c r="AC412" s="3011"/>
      <c r="AD412" s="3011"/>
      <c r="AE412" s="3011"/>
      <c r="AF412" s="3011"/>
      <c r="AG412" s="3011"/>
    </row>
    <row r="413" spans="27:33" ht="25.2" customHeight="1">
      <c r="AA413" s="3011"/>
      <c r="AB413" s="3011"/>
      <c r="AC413" s="3011"/>
      <c r="AD413" s="3011"/>
      <c r="AE413" s="3011"/>
      <c r="AF413" s="3011"/>
      <c r="AG413" s="3011"/>
    </row>
    <row r="414" spans="27:33" ht="25.2" customHeight="1">
      <c r="AA414" s="3011"/>
      <c r="AB414" s="3011"/>
      <c r="AC414" s="3011"/>
      <c r="AD414" s="3011"/>
      <c r="AE414" s="3011"/>
      <c r="AF414" s="3011"/>
      <c r="AG414" s="3011"/>
    </row>
    <row r="415" spans="27:33" ht="25.2" customHeight="1">
      <c r="AA415" s="3011"/>
      <c r="AB415" s="3011"/>
      <c r="AC415" s="3011"/>
      <c r="AD415" s="3011"/>
      <c r="AE415" s="3011"/>
      <c r="AF415" s="3011"/>
      <c r="AG415" s="3011"/>
    </row>
    <row r="416" spans="27:33" ht="25.2" customHeight="1">
      <c r="AA416" s="3011"/>
      <c r="AB416" s="3011"/>
      <c r="AC416" s="3011"/>
      <c r="AD416" s="3011"/>
      <c r="AE416" s="3011"/>
      <c r="AF416" s="3011"/>
      <c r="AG416" s="3011"/>
    </row>
    <row r="417" spans="27:33" ht="25.2" customHeight="1">
      <c r="AA417" s="3011"/>
      <c r="AB417" s="3011"/>
      <c r="AC417" s="3011"/>
      <c r="AD417" s="3011"/>
      <c r="AE417" s="3011"/>
      <c r="AF417" s="3011"/>
      <c r="AG417" s="3011"/>
    </row>
    <row r="418" spans="27:33" ht="25.2" customHeight="1">
      <c r="AA418" s="3011"/>
      <c r="AB418" s="3011"/>
      <c r="AC418" s="3011"/>
      <c r="AD418" s="3011"/>
      <c r="AE418" s="3011"/>
      <c r="AF418" s="3011"/>
      <c r="AG418" s="3011"/>
    </row>
    <row r="419" spans="27:33" ht="25.2" customHeight="1">
      <c r="AA419" s="3011"/>
      <c r="AB419" s="3011"/>
      <c r="AC419" s="3011"/>
      <c r="AD419" s="3011"/>
      <c r="AE419" s="3011"/>
      <c r="AF419" s="3011"/>
      <c r="AG419" s="3011"/>
    </row>
    <row r="420" spans="27:33" ht="25.2" customHeight="1">
      <c r="AA420" s="3011"/>
      <c r="AB420" s="3011"/>
      <c r="AC420" s="3011"/>
      <c r="AD420" s="3011"/>
      <c r="AE420" s="3011"/>
      <c r="AF420" s="3011"/>
      <c r="AG420" s="3011"/>
    </row>
    <row r="421" spans="27:33" ht="25.2" customHeight="1">
      <c r="AA421" s="3011"/>
      <c r="AB421" s="3011"/>
      <c r="AC421" s="3011"/>
      <c r="AD421" s="3011"/>
      <c r="AE421" s="3011"/>
      <c r="AF421" s="3011"/>
      <c r="AG421" s="3011"/>
    </row>
    <row r="422" spans="27:33" ht="25.2" customHeight="1">
      <c r="AA422" s="3011"/>
      <c r="AB422" s="3011"/>
      <c r="AC422" s="3011"/>
      <c r="AD422" s="3011"/>
      <c r="AE422" s="3011"/>
      <c r="AF422" s="3011"/>
      <c r="AG422" s="3011"/>
    </row>
    <row r="423" spans="27:33" ht="25.2" customHeight="1">
      <c r="AA423" s="3011"/>
      <c r="AB423" s="3011"/>
      <c r="AC423" s="3011"/>
      <c r="AD423" s="3011"/>
      <c r="AE423" s="3011"/>
      <c r="AF423" s="3011"/>
      <c r="AG423" s="3011"/>
    </row>
    <row r="424" spans="27:33" ht="25.2" customHeight="1">
      <c r="AA424" s="3011"/>
      <c r="AB424" s="3011"/>
      <c r="AC424" s="3011"/>
      <c r="AD424" s="3011"/>
      <c r="AE424" s="3011"/>
      <c r="AF424" s="3011"/>
      <c r="AG424" s="3011"/>
    </row>
    <row r="425" spans="27:33" ht="25.2" customHeight="1">
      <c r="AA425" s="3011"/>
      <c r="AB425" s="3011"/>
      <c r="AC425" s="3011"/>
      <c r="AD425" s="3011"/>
      <c r="AE425" s="3011"/>
      <c r="AF425" s="3011"/>
      <c r="AG425" s="3011"/>
    </row>
    <row r="426" spans="27:33" ht="25.2" customHeight="1">
      <c r="AA426" s="3011"/>
      <c r="AB426" s="3011"/>
      <c r="AC426" s="3011"/>
      <c r="AD426" s="3011"/>
      <c r="AE426" s="3011"/>
      <c r="AF426" s="3011"/>
      <c r="AG426" s="3011"/>
    </row>
    <row r="427" spans="27:33" ht="25.2" customHeight="1">
      <c r="AA427" s="3011"/>
      <c r="AB427" s="3011"/>
      <c r="AC427" s="3011"/>
      <c r="AD427" s="3011"/>
      <c r="AE427" s="3011"/>
      <c r="AF427" s="3011"/>
      <c r="AG427" s="3011"/>
    </row>
    <row r="428" spans="27:33" ht="25.2" customHeight="1">
      <c r="AA428" s="3011"/>
      <c r="AB428" s="3011"/>
      <c r="AC428" s="3011"/>
      <c r="AD428" s="3011"/>
      <c r="AE428" s="3011"/>
      <c r="AF428" s="3011"/>
      <c r="AG428" s="3011"/>
    </row>
    <row r="429" spans="27:33" ht="25.2" customHeight="1">
      <c r="AA429" s="3011"/>
      <c r="AB429" s="3011"/>
      <c r="AC429" s="3011"/>
      <c r="AD429" s="3011"/>
      <c r="AE429" s="3011"/>
      <c r="AF429" s="3011"/>
      <c r="AG429" s="3011"/>
    </row>
    <row r="430" spans="27:33" ht="25.2" customHeight="1">
      <c r="AA430" s="3011"/>
      <c r="AB430" s="3011"/>
      <c r="AC430" s="3011"/>
      <c r="AD430" s="3011"/>
      <c r="AE430" s="3011"/>
      <c r="AF430" s="3011"/>
      <c r="AG430" s="3011"/>
    </row>
    <row r="431" spans="27:33" ht="25.2" customHeight="1">
      <c r="AA431" s="3011"/>
      <c r="AB431" s="3011"/>
      <c r="AC431" s="3011"/>
      <c r="AD431" s="3011"/>
      <c r="AE431" s="3011"/>
      <c r="AF431" s="3011"/>
      <c r="AG431" s="3011"/>
    </row>
    <row r="432" spans="27:33" ht="25.2" customHeight="1">
      <c r="AA432" s="3011"/>
      <c r="AB432" s="3011"/>
      <c r="AC432" s="3011"/>
      <c r="AD432" s="3011"/>
      <c r="AE432" s="3011"/>
      <c r="AF432" s="3011"/>
      <c r="AG432" s="3011"/>
    </row>
    <row r="433" spans="27:33" ht="25.2" customHeight="1">
      <c r="AA433" s="3011"/>
      <c r="AB433" s="3011"/>
      <c r="AC433" s="3011"/>
      <c r="AD433" s="3011"/>
      <c r="AE433" s="3011"/>
      <c r="AF433" s="3011"/>
      <c r="AG433" s="3011"/>
    </row>
    <row r="434" spans="27:33" ht="25.2" customHeight="1">
      <c r="AA434" s="3011"/>
      <c r="AB434" s="3011"/>
      <c r="AC434" s="3011"/>
      <c r="AD434" s="3011"/>
      <c r="AE434" s="3011"/>
      <c r="AF434" s="3011"/>
      <c r="AG434" s="3011"/>
    </row>
    <row r="435" spans="27:33" ht="25.2" customHeight="1">
      <c r="AA435" s="3011"/>
      <c r="AB435" s="3011"/>
      <c r="AC435" s="3011"/>
      <c r="AD435" s="3011"/>
      <c r="AE435" s="3011"/>
      <c r="AF435" s="3011"/>
      <c r="AG435" s="3011"/>
    </row>
    <row r="436" spans="27:33" ht="25.2" customHeight="1">
      <c r="AA436" s="3011"/>
      <c r="AB436" s="3011"/>
      <c r="AC436" s="3011"/>
      <c r="AD436" s="3011"/>
      <c r="AE436" s="3011"/>
      <c r="AF436" s="3011"/>
      <c r="AG436" s="3011"/>
    </row>
    <row r="437" spans="27:33" ht="25.2" customHeight="1">
      <c r="AA437" s="3011"/>
      <c r="AB437" s="3011"/>
      <c r="AC437" s="3011"/>
      <c r="AD437" s="3011"/>
      <c r="AE437" s="3011"/>
      <c r="AF437" s="3011"/>
      <c r="AG437" s="3011"/>
    </row>
    <row r="438" spans="27:33" ht="25.2" customHeight="1">
      <c r="AA438" s="3011"/>
      <c r="AB438" s="3011"/>
      <c r="AC438" s="3011"/>
      <c r="AD438" s="3011"/>
      <c r="AE438" s="3011"/>
      <c r="AF438" s="3011"/>
      <c r="AG438" s="3011"/>
    </row>
    <row r="439" spans="27:33" ht="25.2" customHeight="1">
      <c r="AA439" s="3011"/>
      <c r="AB439" s="3011"/>
      <c r="AC439" s="3011"/>
      <c r="AD439" s="3011"/>
      <c r="AE439" s="3011"/>
      <c r="AF439" s="3011"/>
      <c r="AG439" s="3011"/>
    </row>
    <row r="440" spans="27:33" ht="25.2" customHeight="1">
      <c r="AA440" s="3011"/>
      <c r="AB440" s="3011"/>
      <c r="AC440" s="3011"/>
      <c r="AD440" s="3011"/>
      <c r="AE440" s="3011"/>
      <c r="AF440" s="3011"/>
      <c r="AG440" s="3011"/>
    </row>
    <row r="441" spans="27:33" ht="25.2" customHeight="1">
      <c r="AA441" s="3011"/>
      <c r="AB441" s="3011"/>
      <c r="AC441" s="3011"/>
      <c r="AD441" s="3011"/>
      <c r="AE441" s="3011"/>
      <c r="AF441" s="3011"/>
      <c r="AG441" s="3011"/>
    </row>
    <row r="442" spans="27:33" ht="25.2" customHeight="1">
      <c r="AA442" s="3011"/>
      <c r="AB442" s="3011"/>
      <c r="AC442" s="3011"/>
      <c r="AD442" s="3011"/>
      <c r="AE442" s="3011"/>
      <c r="AF442" s="3011"/>
      <c r="AG442" s="3011"/>
    </row>
    <row r="443" spans="27:33" ht="25.2" customHeight="1">
      <c r="AA443" s="3011"/>
      <c r="AB443" s="3011"/>
      <c r="AC443" s="3011"/>
      <c r="AD443" s="3011"/>
      <c r="AE443" s="3011"/>
      <c r="AF443" s="3011"/>
      <c r="AG443" s="3011"/>
    </row>
    <row r="444" spans="27:33" ht="25.2" customHeight="1">
      <c r="AA444" s="3011"/>
      <c r="AB444" s="3011"/>
      <c r="AC444" s="3011"/>
      <c r="AD444" s="3011"/>
      <c r="AE444" s="3011"/>
      <c r="AF444" s="3011"/>
      <c r="AG444" s="3011"/>
    </row>
    <row r="445" spans="27:33" ht="25.2" customHeight="1">
      <c r="AA445" s="3011"/>
      <c r="AB445" s="3011"/>
      <c r="AC445" s="3011"/>
      <c r="AD445" s="3011"/>
      <c r="AE445" s="3011"/>
      <c r="AF445" s="3011"/>
      <c r="AG445" s="3011"/>
    </row>
    <row r="446" spans="27:33" ht="25.2" customHeight="1">
      <c r="AA446" s="3011"/>
      <c r="AB446" s="3011"/>
      <c r="AC446" s="3011"/>
      <c r="AD446" s="3011"/>
      <c r="AE446" s="3011"/>
      <c r="AF446" s="3011"/>
      <c r="AG446" s="3011"/>
    </row>
    <row r="447" spans="27:33" ht="25.2" customHeight="1">
      <c r="AA447" s="3011"/>
      <c r="AB447" s="3011"/>
      <c r="AC447" s="3011"/>
      <c r="AD447" s="3011"/>
      <c r="AE447" s="3011"/>
      <c r="AF447" s="3011"/>
      <c r="AG447" s="3011"/>
    </row>
    <row r="448" spans="27:33" ht="25.2" customHeight="1">
      <c r="AA448" s="3011"/>
      <c r="AB448" s="3011"/>
      <c r="AC448" s="3011"/>
      <c r="AD448" s="3011"/>
      <c r="AE448" s="3011"/>
      <c r="AF448" s="3011"/>
      <c r="AG448" s="3011"/>
    </row>
    <row r="449" spans="27:33" ht="25.2" customHeight="1">
      <c r="AA449" s="3011"/>
      <c r="AB449" s="3011"/>
      <c r="AC449" s="3011"/>
      <c r="AD449" s="3011"/>
      <c r="AE449" s="3011"/>
      <c r="AF449" s="3011"/>
      <c r="AG449" s="3011"/>
    </row>
    <row r="450" spans="27:33" ht="25.2" customHeight="1">
      <c r="AA450" s="3011"/>
      <c r="AB450" s="3011"/>
      <c r="AC450" s="3011"/>
      <c r="AD450" s="3011"/>
      <c r="AE450" s="3011"/>
      <c r="AF450" s="3011"/>
      <c r="AG450" s="3011"/>
    </row>
    <row r="451" spans="27:33" ht="25.2" customHeight="1">
      <c r="AA451" s="3011"/>
      <c r="AB451" s="3011"/>
      <c r="AC451" s="3011"/>
      <c r="AD451" s="3011"/>
      <c r="AE451" s="3011"/>
      <c r="AF451" s="3011"/>
      <c r="AG451" s="3011"/>
    </row>
    <row r="452" spans="27:33" ht="25.2" customHeight="1">
      <c r="AA452" s="3011"/>
      <c r="AB452" s="3011"/>
      <c r="AC452" s="3011"/>
      <c r="AD452" s="3011"/>
      <c r="AE452" s="3011"/>
      <c r="AF452" s="3011"/>
      <c r="AG452" s="3011"/>
    </row>
    <row r="453" spans="27:33" ht="25.2" customHeight="1">
      <c r="AA453" s="3011"/>
      <c r="AB453" s="3011"/>
      <c r="AC453" s="3011"/>
      <c r="AD453" s="3011"/>
      <c r="AE453" s="3011"/>
      <c r="AF453" s="3011"/>
      <c r="AG453" s="3011"/>
    </row>
    <row r="454" spans="27:33" ht="25.2" customHeight="1">
      <c r="AA454" s="3011"/>
      <c r="AB454" s="3011"/>
      <c r="AC454" s="3011"/>
      <c r="AD454" s="3011"/>
      <c r="AE454" s="3011"/>
      <c r="AF454" s="3011"/>
      <c r="AG454" s="3011"/>
    </row>
    <row r="455" spans="27:33" ht="25.2" customHeight="1">
      <c r="AA455" s="3011"/>
      <c r="AB455" s="3011"/>
      <c r="AC455" s="3011"/>
      <c r="AD455" s="3011"/>
      <c r="AE455" s="3011"/>
      <c r="AF455" s="3011"/>
      <c r="AG455" s="3011"/>
    </row>
    <row r="456" spans="27:33" ht="25.2" customHeight="1">
      <c r="AA456" s="3011"/>
      <c r="AB456" s="3011"/>
      <c r="AC456" s="3011"/>
      <c r="AD456" s="3011"/>
      <c r="AE456" s="3011"/>
      <c r="AF456" s="3011"/>
      <c r="AG456" s="3011"/>
    </row>
    <row r="457" spans="27:33" ht="25.2" customHeight="1">
      <c r="AA457" s="3011"/>
      <c r="AB457" s="3011"/>
      <c r="AC457" s="3011"/>
      <c r="AD457" s="3011"/>
      <c r="AE457" s="3011"/>
      <c r="AF457" s="3011"/>
      <c r="AG457" s="3011"/>
    </row>
    <row r="458" spans="27:33" ht="25.2" customHeight="1">
      <c r="AA458" s="3011"/>
      <c r="AB458" s="3011"/>
      <c r="AC458" s="3011"/>
      <c r="AD458" s="3011"/>
      <c r="AE458" s="3011"/>
      <c r="AF458" s="3011"/>
      <c r="AG458" s="3011"/>
    </row>
    <row r="459" spans="27:33" ht="25.2" customHeight="1">
      <c r="AA459" s="3011"/>
      <c r="AB459" s="3011"/>
      <c r="AC459" s="3011"/>
      <c r="AD459" s="3011"/>
      <c r="AE459" s="3011"/>
      <c r="AF459" s="3011"/>
      <c r="AG459" s="3011"/>
    </row>
    <row r="460" spans="27:33" ht="25.2" customHeight="1">
      <c r="AA460" s="3011"/>
      <c r="AB460" s="3011"/>
      <c r="AC460" s="3011"/>
      <c r="AD460" s="3011"/>
      <c r="AE460" s="3011"/>
      <c r="AF460" s="3011"/>
      <c r="AG460" s="3011"/>
    </row>
    <row r="461" spans="27:33" ht="25.2" customHeight="1">
      <c r="AA461" s="3011"/>
      <c r="AB461" s="3011"/>
      <c r="AC461" s="3011"/>
      <c r="AD461" s="3011"/>
      <c r="AE461" s="3011"/>
      <c r="AF461" s="3011"/>
      <c r="AG461" s="3011"/>
    </row>
    <row r="462" spans="27:33" ht="25.2" customHeight="1">
      <c r="AA462" s="3011"/>
      <c r="AB462" s="3011"/>
      <c r="AC462" s="3011"/>
      <c r="AD462" s="3011"/>
      <c r="AE462" s="3011"/>
      <c r="AF462" s="3011"/>
      <c r="AG462" s="3011"/>
    </row>
    <row r="463" spans="27:33" ht="25.2" customHeight="1">
      <c r="AA463" s="3011"/>
      <c r="AB463" s="3011"/>
      <c r="AC463" s="3011"/>
      <c r="AD463" s="3011"/>
      <c r="AE463" s="3011"/>
      <c r="AF463" s="3011"/>
      <c r="AG463" s="3011"/>
    </row>
    <row r="464" spans="27:33" ht="25.2" customHeight="1">
      <c r="AA464" s="3011"/>
      <c r="AB464" s="3011"/>
      <c r="AC464" s="3011"/>
      <c r="AD464" s="3011"/>
      <c r="AE464" s="3011"/>
      <c r="AF464" s="3011"/>
      <c r="AG464" s="3011"/>
    </row>
    <row r="465" spans="27:33" ht="25.2" customHeight="1">
      <c r="AA465" s="3011"/>
      <c r="AB465" s="3011"/>
      <c r="AC465" s="3011"/>
      <c r="AD465" s="3011"/>
      <c r="AE465" s="3011"/>
      <c r="AF465" s="3011"/>
      <c r="AG465" s="3011"/>
    </row>
    <row r="466" spans="27:33" ht="25.2" customHeight="1">
      <c r="AA466" s="3011"/>
      <c r="AB466" s="3011"/>
      <c r="AC466" s="3011"/>
      <c r="AD466" s="3011"/>
      <c r="AE466" s="3011"/>
      <c r="AF466" s="3011"/>
      <c r="AG466" s="3011"/>
    </row>
    <row r="467" spans="27:33" ht="25.2" customHeight="1">
      <c r="AA467" s="3011"/>
      <c r="AB467" s="3011"/>
      <c r="AC467" s="3011"/>
      <c r="AD467" s="3011"/>
      <c r="AE467" s="3011"/>
      <c r="AF467" s="3011"/>
      <c r="AG467" s="3011"/>
    </row>
    <row r="468" spans="27:33" ht="25.2" customHeight="1">
      <c r="AA468" s="3011"/>
      <c r="AB468" s="3011"/>
      <c r="AC468" s="3011"/>
      <c r="AD468" s="3011"/>
      <c r="AE468" s="3011"/>
      <c r="AF468" s="3011"/>
      <c r="AG468" s="3011"/>
    </row>
    <row r="469" spans="27:33" ht="25.2" customHeight="1">
      <c r="AA469" s="3011"/>
      <c r="AB469" s="3011"/>
      <c r="AC469" s="3011"/>
      <c r="AD469" s="3011"/>
      <c r="AE469" s="3011"/>
      <c r="AF469" s="3011"/>
      <c r="AG469" s="3011"/>
    </row>
    <row r="470" spans="27:33" ht="25.2" customHeight="1">
      <c r="AA470" s="3011"/>
      <c r="AB470" s="3011"/>
      <c r="AC470" s="3011"/>
      <c r="AD470" s="3011"/>
      <c r="AE470" s="3011"/>
      <c r="AF470" s="3011"/>
      <c r="AG470" s="3011"/>
    </row>
    <row r="471" spans="27:33" ht="25.2" customHeight="1">
      <c r="AA471" s="3011"/>
      <c r="AB471" s="3011"/>
      <c r="AC471" s="3011"/>
      <c r="AD471" s="3011"/>
      <c r="AE471" s="3011"/>
      <c r="AF471" s="3011"/>
      <c r="AG471" s="3011"/>
    </row>
    <row r="472" spans="27:33" ht="25.2" customHeight="1">
      <c r="AA472" s="3011"/>
      <c r="AB472" s="3011"/>
      <c r="AC472" s="3011"/>
      <c r="AD472" s="3011"/>
      <c r="AE472" s="3011"/>
      <c r="AF472" s="3011"/>
      <c r="AG472" s="3011"/>
    </row>
    <row r="473" spans="27:33" ht="25.2" customHeight="1">
      <c r="AA473" s="3011"/>
      <c r="AB473" s="3011"/>
      <c r="AC473" s="3011"/>
      <c r="AD473" s="3011"/>
      <c r="AE473" s="3011"/>
      <c r="AF473" s="3011"/>
      <c r="AG473" s="3011"/>
    </row>
    <row r="474" spans="27:33" ht="25.2" customHeight="1">
      <c r="AA474" s="3011"/>
      <c r="AB474" s="3011"/>
      <c r="AC474" s="3011"/>
      <c r="AD474" s="3011"/>
      <c r="AE474" s="3011"/>
      <c r="AF474" s="3011"/>
      <c r="AG474" s="3011"/>
    </row>
    <row r="475" spans="27:33" ht="25.2" customHeight="1">
      <c r="AA475" s="3011"/>
      <c r="AB475" s="3011"/>
      <c r="AC475" s="3011"/>
      <c r="AD475" s="3011"/>
      <c r="AE475" s="3011"/>
      <c r="AF475" s="3011"/>
      <c r="AG475" s="3011"/>
    </row>
    <row r="476" spans="27:33" ht="25.2" customHeight="1">
      <c r="AA476" s="3011"/>
      <c r="AB476" s="3011"/>
      <c r="AC476" s="3011"/>
      <c r="AD476" s="3011"/>
      <c r="AE476" s="3011"/>
      <c r="AF476" s="3011"/>
      <c r="AG476" s="3011"/>
    </row>
    <row r="477" spans="27:33" ht="25.2" customHeight="1">
      <c r="AA477" s="3011"/>
      <c r="AB477" s="3011"/>
      <c r="AC477" s="3011"/>
      <c r="AD477" s="3011"/>
      <c r="AE477" s="3011"/>
      <c r="AF477" s="3011"/>
      <c r="AG477" s="3011"/>
    </row>
    <row r="478" spans="27:33" ht="25.2" customHeight="1">
      <c r="AA478" s="3011"/>
      <c r="AB478" s="3011"/>
      <c r="AC478" s="3011"/>
      <c r="AD478" s="3011"/>
      <c r="AE478" s="3011"/>
      <c r="AF478" s="3011"/>
      <c r="AG478" s="3011"/>
    </row>
    <row r="479" spans="27:33" ht="25.2" customHeight="1">
      <c r="AA479" s="3011"/>
      <c r="AB479" s="3011"/>
      <c r="AC479" s="3011"/>
      <c r="AD479" s="3011"/>
      <c r="AE479" s="3011"/>
      <c r="AF479" s="3011"/>
      <c r="AG479" s="3011"/>
    </row>
    <row r="480" spans="27:33" ht="25.2" customHeight="1">
      <c r="AA480" s="3011"/>
      <c r="AB480" s="3011"/>
      <c r="AC480" s="3011"/>
      <c r="AD480" s="3011"/>
      <c r="AE480" s="3011"/>
      <c r="AF480" s="3011"/>
      <c r="AG480" s="3011"/>
    </row>
    <row r="481" spans="27:33" ht="25.2" customHeight="1">
      <c r="AA481" s="3011"/>
      <c r="AB481" s="3011"/>
      <c r="AC481" s="3011"/>
      <c r="AD481" s="3011"/>
      <c r="AE481" s="3011"/>
      <c r="AF481" s="3011"/>
      <c r="AG481" s="3011"/>
    </row>
    <row r="482" spans="27:33" ht="25.2" customHeight="1">
      <c r="AA482" s="3011"/>
      <c r="AB482" s="3011"/>
      <c r="AC482" s="3011"/>
      <c r="AD482" s="3011"/>
      <c r="AE482" s="3011"/>
      <c r="AF482" s="3011"/>
      <c r="AG482" s="3011"/>
    </row>
    <row r="483" spans="27:33" ht="25.2" customHeight="1">
      <c r="AA483" s="3011"/>
      <c r="AB483" s="3011"/>
      <c r="AC483" s="3011"/>
      <c r="AD483" s="3011"/>
      <c r="AE483" s="3011"/>
      <c r="AF483" s="3011"/>
      <c r="AG483" s="3011"/>
    </row>
    <row r="484" spans="27:33" ht="25.2" customHeight="1">
      <c r="AA484" s="3011"/>
      <c r="AB484" s="3011"/>
      <c r="AC484" s="3011"/>
      <c r="AD484" s="3011"/>
      <c r="AE484" s="3011"/>
      <c r="AF484" s="3011"/>
      <c r="AG484" s="3011"/>
    </row>
    <row r="485" spans="27:33" ht="25.2" customHeight="1">
      <c r="AA485" s="3011"/>
      <c r="AB485" s="3011"/>
      <c r="AC485" s="3011"/>
      <c r="AD485" s="3011"/>
      <c r="AE485" s="3011"/>
      <c r="AF485" s="3011"/>
      <c r="AG485" s="3011"/>
    </row>
    <row r="486" spans="27:33" ht="25.2" customHeight="1">
      <c r="AA486" s="3011"/>
      <c r="AB486" s="3011"/>
      <c r="AC486" s="3011"/>
      <c r="AD486" s="3011"/>
      <c r="AE486" s="3011"/>
      <c r="AF486" s="3011"/>
      <c r="AG486" s="3011"/>
    </row>
    <row r="487" spans="27:33" ht="25.2" customHeight="1">
      <c r="AA487" s="3011"/>
      <c r="AB487" s="3011"/>
      <c r="AC487" s="3011"/>
      <c r="AD487" s="3011"/>
      <c r="AE487" s="3011"/>
      <c r="AF487" s="3011"/>
      <c r="AG487" s="3011"/>
    </row>
  </sheetData>
  <autoFilter ref="A9:AH140" xr:uid="{00000000-0009-0000-0000-00000C000000}">
    <filterColumn colId="0">
      <filters blank="1">
        <filter val="1"/>
        <filter val="10"/>
        <filter val="10A"/>
        <filter val="11"/>
        <filter val="11A"/>
        <filter val="12"/>
        <filter val="12A"/>
        <filter val="13"/>
        <filter val="13A"/>
        <filter val="14"/>
        <filter val="14A"/>
        <filter val="15"/>
        <filter val="15A"/>
        <filter val="16"/>
        <filter val="16A"/>
        <filter val="17"/>
        <filter val="17A"/>
        <filter val="18"/>
        <filter val="18A"/>
        <filter val="19"/>
        <filter val="19A"/>
        <filter val="1A"/>
        <filter val="2"/>
        <filter val="20"/>
        <filter val="20A"/>
        <filter val="21"/>
        <filter val="21A"/>
        <filter val="22"/>
        <filter val="22A"/>
        <filter val="23"/>
        <filter val="23A"/>
        <filter val="24"/>
        <filter val="24A"/>
        <filter val="25"/>
        <filter val="25A"/>
        <filter val="26"/>
        <filter val="26A"/>
        <filter val="27"/>
        <filter val="27A"/>
        <filter val="28"/>
        <filter val="28A"/>
        <filter val="29"/>
        <filter val="29A"/>
        <filter val="2A"/>
        <filter val="3"/>
        <filter val="30"/>
        <filter val="30A"/>
        <filter val="31"/>
        <filter val="31A"/>
        <filter val="31B"/>
        <filter val="32"/>
        <filter val="32A"/>
        <filter val="33"/>
        <filter val="33A"/>
        <filter val="34"/>
        <filter val="34A"/>
        <filter val="35"/>
        <filter val="35A"/>
        <filter val="36"/>
        <filter val="36A"/>
        <filter val="37"/>
        <filter val="37A"/>
        <filter val="38"/>
        <filter val="38A"/>
        <filter val="39"/>
        <filter val="39A"/>
        <filter val="3A"/>
        <filter val="4"/>
        <filter val="40"/>
        <filter val="40A"/>
        <filter val="41"/>
        <filter val="41A"/>
        <filter val="42"/>
        <filter val="42A"/>
        <filter val="43"/>
        <filter val="43A"/>
        <filter val="44"/>
        <filter val="44A"/>
        <filter val="45"/>
        <filter val="45A"/>
        <filter val="46"/>
        <filter val="46A"/>
        <filter val="47"/>
        <filter val="47A"/>
        <filter val="48"/>
        <filter val="48A"/>
        <filter val="49"/>
        <filter val="49A"/>
        <filter val="4A"/>
        <filter val="5"/>
        <filter val="50"/>
        <filter val="50A"/>
        <filter val="51"/>
        <filter val="51A"/>
        <filter val="52"/>
        <filter val="52A"/>
        <filter val="53"/>
        <filter val="53A"/>
        <filter val="54"/>
        <filter val="54A"/>
        <filter val="54A/01A"/>
        <filter val="54A/01B"/>
        <filter val="5A"/>
        <filter val="6"/>
        <filter val="6A"/>
        <filter val="7"/>
        <filter val="7A"/>
        <filter val="8"/>
        <filter val="8A"/>
        <filter val="9"/>
        <filter val="9A"/>
        <filter val="TỔNG"/>
      </filters>
    </filterColumn>
  </autoFilter>
  <phoneticPr fontId="0" type="noConversion"/>
  <conditionalFormatting sqref="A10:U10 Y10:XFD10 W10">
    <cfRule type="cellIs" dxfId="140" priority="3" operator="greaterThan">
      <formula>0</formula>
    </cfRule>
  </conditionalFormatting>
  <conditionalFormatting sqref="X10">
    <cfRule type="cellIs" dxfId="139" priority="2" operator="greaterThan">
      <formula>0</formula>
    </cfRule>
  </conditionalFormatting>
  <conditionalFormatting sqref="V10">
    <cfRule type="cellIs" dxfId="138"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4111</v>
      </c>
      <c r="C5" s="87"/>
      <c r="D5" s="87"/>
      <c r="E5" s="87"/>
    </row>
    <row r="6" spans="1:13">
      <c r="F6" s="90"/>
      <c r="G6" s="89"/>
      <c r="H6" s="90"/>
      <c r="I6" s="90"/>
    </row>
    <row r="7" spans="1:13" ht="27.6">
      <c r="A7" s="91"/>
      <c r="B7" s="754" t="s">
        <v>1708</v>
      </c>
      <c r="C7" s="754" t="s">
        <v>2281</v>
      </c>
      <c r="D7" s="755" t="s">
        <v>4112</v>
      </c>
      <c r="E7" s="755" t="s">
        <v>4113</v>
      </c>
      <c r="F7" s="92">
        <f>pp_NC!GV5</f>
        <v>0</v>
      </c>
      <c r="G7" s="92" t="str">
        <f>'pp3p2m '!ED6</f>
        <v>B</v>
      </c>
      <c r="H7" s="92" t="s">
        <v>1038</v>
      </c>
      <c r="I7" s="92" t="s">
        <v>1038</v>
      </c>
      <c r="J7" s="93"/>
      <c r="K7" s="89"/>
      <c r="L7" s="89"/>
      <c r="M7" s="89"/>
    </row>
    <row r="8" spans="1:13" ht="13.8">
      <c r="A8" s="79" t="s">
        <v>2284</v>
      </c>
      <c r="B8" s="80"/>
      <c r="C8" s="80" t="s">
        <v>4114</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5027</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5028</v>
      </c>
      <c r="D120" s="19" t="s">
        <v>2248</v>
      </c>
      <c r="E120" s="19">
        <v>0</v>
      </c>
      <c r="F120" s="10"/>
      <c r="G120" s="7">
        <f t="shared" si="3"/>
        <v>0</v>
      </c>
      <c r="H120" s="4"/>
      <c r="I120" s="4"/>
      <c r="J120" s="4"/>
    </row>
    <row r="121" spans="1:10" s="1" customFormat="1" ht="13.8">
      <c r="A121" s="9" t="str">
        <f>chitiet!B1775</f>
        <v>AC70</v>
      </c>
      <c r="B121" s="18" t="str">
        <f>IF(E121=0,"",COUNTIF($E$116:$E121,"&gt;0"))</f>
        <v/>
      </c>
      <c r="C121" s="16" t="s">
        <v>5029</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5030</v>
      </c>
      <c r="D130" s="19" t="s">
        <v>2532</v>
      </c>
      <c r="E130" s="35">
        <v>0</v>
      </c>
      <c r="F130" s="10"/>
      <c r="G130" s="7">
        <f>IF(E130&lt;&gt;0,1,0)</f>
        <v>0</v>
      </c>
      <c r="H130" s="4"/>
      <c r="I130" s="4"/>
      <c r="J130" s="4"/>
    </row>
    <row r="131" spans="1:10" ht="13.8">
      <c r="A131" s="106" t="str">
        <f>chitiet!B1787</f>
        <v>XLPE50A</v>
      </c>
      <c r="B131" s="100" t="str">
        <f>IF(E131=0,"",COUNTIF($E$116:$E131,"&gt;0"))</f>
        <v/>
      </c>
      <c r="C131" s="101" t="s">
        <v>5030</v>
      </c>
      <c r="D131" s="84" t="s">
        <v>2532</v>
      </c>
      <c r="E131" s="763">
        <v>0</v>
      </c>
      <c r="F131" s="107"/>
      <c r="G131" s="99">
        <f>IF(E131&lt;&gt;0,1,0)</f>
        <v>0</v>
      </c>
      <c r="H131" s="91"/>
      <c r="I131" s="91"/>
      <c r="J131" s="91"/>
    </row>
    <row r="132" spans="1:10" s="1" customFormat="1" ht="13.8">
      <c r="A132" s="9" t="str">
        <f>chitiet!B1788</f>
        <v>XLPE50</v>
      </c>
      <c r="B132" s="18" t="str">
        <f>IF(E132=0,"",COUNTIF($E$116:$E132,"&gt;0"))</f>
        <v/>
      </c>
      <c r="C132" s="16" t="s">
        <v>5031</v>
      </c>
      <c r="D132" s="19" t="s">
        <v>5026</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5022</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5004</v>
      </c>
      <c r="D144" s="22" t="s">
        <v>5002</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5006</v>
      </c>
      <c r="D148" s="109" t="s">
        <v>5002</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4971</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5023</v>
      </c>
      <c r="D152" s="36" t="s">
        <v>5002</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5007</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4972</v>
      </c>
      <c r="D157" s="112" t="s">
        <v>2555</v>
      </c>
      <c r="E157" s="112" t="e">
        <v>#N/A</v>
      </c>
      <c r="F157" s="91"/>
      <c r="G157" s="99" t="e">
        <f>G156</f>
        <v>#N/A</v>
      </c>
      <c r="H157" s="91"/>
      <c r="I157" s="91"/>
      <c r="J157" s="91"/>
    </row>
    <row r="158" spans="1:10" ht="13.8">
      <c r="A158" s="106" t="str">
        <f>chitiet!B1818</f>
        <v>CSD</v>
      </c>
      <c r="B158" s="100"/>
      <c r="C158" s="111" t="s">
        <v>4973</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4972</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4972</v>
      </c>
      <c r="D164" s="32" t="s">
        <v>2555</v>
      </c>
      <c r="E164" s="29" t="e">
        <v>#N/A</v>
      </c>
      <c r="F164" s="4"/>
      <c r="G164" s="7" t="e">
        <f>G163</f>
        <v>#N/A</v>
      </c>
      <c r="H164" s="4"/>
      <c r="I164" s="4"/>
      <c r="J164" s="4"/>
    </row>
    <row r="165" spans="1:10" s="1" customFormat="1" ht="14.4">
      <c r="A165" s="9" t="str">
        <f>chitiet!B1825</f>
        <v>CSDG</v>
      </c>
      <c r="B165" s="18"/>
      <c r="C165" s="37" t="s">
        <v>5024</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5007</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4971</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4868</v>
      </c>
      <c r="D174" s="112" t="s">
        <v>2555</v>
      </c>
      <c r="E174" s="112">
        <f>chitiet!D1837</f>
        <v>1</v>
      </c>
      <c r="F174" s="91"/>
      <c r="G174" s="99">
        <f t="shared" si="4"/>
        <v>1</v>
      </c>
      <c r="H174" s="91"/>
      <c r="I174" s="91"/>
      <c r="J174" s="91"/>
    </row>
    <row r="175" spans="1:10" ht="13.8">
      <c r="A175" s="106" t="str">
        <f>chitiet!B1838</f>
        <v>MT</v>
      </c>
      <c r="B175" s="100"/>
      <c r="C175" s="111" t="s">
        <v>5007</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4868</v>
      </c>
      <c r="D180" s="29" t="s">
        <v>2555</v>
      </c>
      <c r="E180" s="29">
        <f>chitiet!D1851</f>
        <v>0</v>
      </c>
      <c r="F180" s="4"/>
      <c r="G180" s="7">
        <f t="shared" si="5"/>
        <v>0</v>
      </c>
      <c r="H180" s="4"/>
      <c r="I180" s="4"/>
      <c r="J180" s="4"/>
    </row>
    <row r="181" spans="1:10" s="1" customFormat="1" ht="13.8">
      <c r="A181" s="9" t="str">
        <f>chitiet!B1852</f>
        <v>MT</v>
      </c>
      <c r="B181" s="18"/>
      <c r="C181" s="37" t="s">
        <v>5007</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4971</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5033</v>
      </c>
      <c r="D185" s="29" t="s">
        <v>5002</v>
      </c>
      <c r="E185" s="29">
        <f>chitiet!D1856</f>
        <v>0</v>
      </c>
      <c r="F185" s="4"/>
      <c r="G185" s="7">
        <f t="shared" si="4"/>
        <v>0</v>
      </c>
      <c r="H185" s="4"/>
      <c r="I185" s="4"/>
      <c r="J185" s="4"/>
    </row>
    <row r="186" spans="1:10" ht="13.8">
      <c r="A186" s="106">
        <f>chitiet!B1860</f>
        <v>0</v>
      </c>
      <c r="B186" s="100">
        <f>IF(E186=0,"",COUNTIF($B$116:$B184,"&gt;0")+1)</f>
        <v>3</v>
      </c>
      <c r="C186" s="108" t="s">
        <v>4115</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5025</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5005</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5034</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5005</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4974</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5035</v>
      </c>
      <c r="D224" s="29" t="s">
        <v>2555</v>
      </c>
      <c r="E224" s="29" t="e">
        <f>chitiet!#REF!</f>
        <v>#REF!</v>
      </c>
      <c r="F224" s="4"/>
      <c r="G224" s="7" t="e">
        <f t="shared" si="7"/>
        <v>#REF!</v>
      </c>
      <c r="H224" s="4"/>
      <c r="I224" s="4"/>
      <c r="J224" s="4"/>
    </row>
    <row r="225" spans="1:10" ht="13.8">
      <c r="A225" s="106" t="str">
        <f>chitiet!B1928</f>
        <v>KH2/0</v>
      </c>
      <c r="B225" s="100"/>
      <c r="C225" s="111" t="s">
        <v>4333</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4865</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5036</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5021</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5022</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5038</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5039</v>
      </c>
      <c r="D241" s="29" t="s">
        <v>2439</v>
      </c>
      <c r="E241" s="29">
        <f>chitiet!D1947</f>
        <v>0</v>
      </c>
      <c r="F241" s="4"/>
      <c r="G241" s="7">
        <f t="shared" si="9"/>
        <v>0</v>
      </c>
      <c r="H241" s="4"/>
      <c r="I241" s="4"/>
      <c r="J241" s="4"/>
    </row>
    <row r="242" spans="1:10" ht="13.8">
      <c r="A242" s="106" t="str">
        <f>chitiet!B1948</f>
        <v>R3</v>
      </c>
      <c r="B242" s="100" t="str">
        <f>IF(E242=0,"",COUNTIF($B$116:$B241,"&gt;0")+1)</f>
        <v/>
      </c>
      <c r="C242" s="111" t="s">
        <v>5040</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5041</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5042</v>
      </c>
      <c r="D248" s="29" t="s">
        <v>2248</v>
      </c>
      <c r="E248" s="29">
        <f>chitiet!D1958</f>
        <v>0</v>
      </c>
      <c r="F248" s="4"/>
      <c r="G248" s="7">
        <f>IF(E248&lt;&gt;0,1,0)</f>
        <v>0</v>
      </c>
      <c r="H248" s="4"/>
      <c r="I248" s="4"/>
      <c r="J248" s="4"/>
    </row>
    <row r="249" spans="1:10" s="1" customFormat="1" ht="13.8">
      <c r="A249" s="12" t="s">
        <v>1896</v>
      </c>
      <c r="B249" s="15" t="s">
        <v>1897</v>
      </c>
      <c r="C249" s="83" t="s">
        <v>4116</v>
      </c>
      <c r="D249" s="84" t="s">
        <v>2301</v>
      </c>
      <c r="E249" s="29"/>
      <c r="F249" s="4"/>
      <c r="G249" s="7"/>
      <c r="H249" s="4"/>
      <c r="I249" s="4"/>
      <c r="J249" s="4"/>
    </row>
    <row r="250" spans="1:10" s="1" customFormat="1" ht="13.8">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3.8">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3.8">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3.8">
      <c r="A275" s="13">
        <f>chitiet!A2341</f>
        <v>64</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3.8">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4117</v>
      </c>
      <c r="D301" s="47"/>
      <c r="E301" s="48"/>
      <c r="F301" s="4"/>
      <c r="G301" s="4"/>
      <c r="H301" s="4"/>
      <c r="I301" s="4"/>
      <c r="J301" s="4"/>
    </row>
    <row r="302" spans="1:10" s="1" customFormat="1" ht="13.8">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3.8">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4121</v>
      </c>
      <c r="D311" s="50"/>
      <c r="E311" s="50"/>
      <c r="F311" s="4"/>
      <c r="G311" s="7">
        <f>IF(E311&lt;&gt;0,1,0)</f>
        <v>0</v>
      </c>
      <c r="H311" s="4"/>
      <c r="I311" s="4"/>
      <c r="J311" s="4"/>
    </row>
    <row r="312" spans="1:10" s="1" customFormat="1" ht="13.8">
      <c r="A312" s="9"/>
      <c r="B312" s="44" t="str">
        <f>IF(E312=0,"",COUNTIF($B$116:$B311,"&gt;0")+1)</f>
        <v/>
      </c>
      <c r="C312" s="757" t="s">
        <v>4122</v>
      </c>
      <c r="D312" s="759" t="s">
        <v>2385</v>
      </c>
      <c r="E312" s="45"/>
      <c r="F312" s="4"/>
      <c r="G312" s="7">
        <f>IF(E312&lt;&gt;0,1,0)</f>
        <v>0</v>
      </c>
      <c r="H312" s="4"/>
      <c r="I312" s="4"/>
      <c r="J312" s="4"/>
    </row>
    <row r="313" spans="1:10" s="1" customFormat="1" ht="13.8">
      <c r="A313" s="4"/>
      <c r="B313" s="14"/>
      <c r="C313" s="134" t="s">
        <v>4123</v>
      </c>
      <c r="D313" s="760"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4124</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1899</v>
      </c>
      <c r="B151" s="104" t="s">
        <v>1900</v>
      </c>
      <c r="C151" s="83" t="s">
        <v>2302</v>
      </c>
      <c r="D151" s="84" t="s">
        <v>2301</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0" customWidth="1"/>
    <col min="2" max="2" width="14.81640625" style="2080" customWidth="1"/>
    <col min="3" max="3" width="3.81640625" style="2080" customWidth="1"/>
    <col min="4" max="4" width="10.1796875" style="2080" customWidth="1"/>
    <col min="5" max="5" width="43.453125" style="2081" customWidth="1"/>
    <col min="6" max="6" width="8.6328125" style="2080" customWidth="1"/>
    <col min="7" max="7" width="8.08984375" style="2084" customWidth="1"/>
    <col min="8" max="8" width="11.54296875" style="2080" customWidth="1" outlineLevel="1"/>
    <col min="9" max="9" width="9.1796875" style="2080" customWidth="1" outlineLevel="1"/>
    <col min="10" max="10" width="11.08984375" style="2080" customWidth="1" outlineLevel="1"/>
    <col min="11" max="11" width="9.90625" style="2080" customWidth="1" outlineLevel="1"/>
    <col min="12" max="12" width="11.54296875" style="2080" customWidth="1" outlineLevel="1"/>
    <col min="13" max="13" width="8.1796875" style="2080" customWidth="1" outlineLevel="1"/>
    <col min="14" max="14" width="10.90625" style="2080" customWidth="1" outlineLevel="1"/>
    <col min="15" max="15" width="9" style="2080" customWidth="1" outlineLevel="1"/>
    <col min="16" max="16" width="11.54296875" style="2090" customWidth="1"/>
    <col min="17" max="17" width="10.6328125" style="2080" customWidth="1"/>
    <col min="18" max="18" width="10.1796875" style="2080" hidden="1" customWidth="1"/>
    <col min="19" max="20" width="8.54296875" style="2080" customWidth="1"/>
    <col min="21" max="21" width="12.1796875" style="2080" customWidth="1"/>
    <col min="22" max="23" width="8.54296875" style="2080" customWidth="1"/>
    <col min="24" max="24" width="9.81640625" style="2080" customWidth="1"/>
    <col min="25" max="25" width="11.81640625" style="2080" customWidth="1"/>
    <col min="26" max="26" width="7.453125" style="2080"/>
    <col min="27" max="27" width="10.6328125" style="2080" customWidth="1"/>
    <col min="28" max="16384" width="7.453125" style="2080"/>
  </cols>
  <sheetData>
    <row r="1" spans="3:16" outlineLevel="1">
      <c r="G1" s="2080"/>
      <c r="P1" s="2080"/>
    </row>
    <row r="2" spans="3:16" outlineLevel="1">
      <c r="E2" s="2562" t="s">
        <v>4413</v>
      </c>
      <c r="F2" s="2563" t="s">
        <v>6295</v>
      </c>
      <c r="G2" s="2563"/>
      <c r="H2" s="2564">
        <v>9</v>
      </c>
      <c r="I2" s="2564" t="s">
        <v>4407</v>
      </c>
      <c r="J2" s="2563" t="s">
        <v>4415</v>
      </c>
      <c r="K2" s="2563"/>
      <c r="L2" s="2564"/>
      <c r="M2" s="2564" t="s">
        <v>4416</v>
      </c>
      <c r="N2" s="2564"/>
      <c r="O2" s="2564" t="s">
        <v>4417</v>
      </c>
      <c r="P2" s="2080"/>
    </row>
    <row r="3" spans="3:16" outlineLevel="1">
      <c r="E3" s="2565">
        <f>IF(H2=12,51,IF(H2=9,36,93))</f>
        <v>36</v>
      </c>
      <c r="F3" s="2566" t="s">
        <v>4418</v>
      </c>
      <c r="G3" s="2563"/>
      <c r="H3" s="2567">
        <f>53</f>
        <v>53</v>
      </c>
      <c r="I3" s="2564" t="s">
        <v>1823</v>
      </c>
      <c r="J3" s="2563" t="s">
        <v>4419</v>
      </c>
      <c r="K3" s="2563"/>
      <c r="L3" s="2564">
        <v>0</v>
      </c>
      <c r="M3" s="2564" t="s">
        <v>4420</v>
      </c>
      <c r="N3" s="2094"/>
      <c r="O3" s="2094"/>
      <c r="P3" s="2080"/>
    </row>
    <row r="4" spans="3:16" outlineLevel="1">
      <c r="E4" s="2568" t="s">
        <v>6296</v>
      </c>
      <c r="F4" s="2566" t="s">
        <v>4421</v>
      </c>
      <c r="G4" s="2563"/>
      <c r="H4" s="2567">
        <f>E3*0.8*0.3</f>
        <v>8.64</v>
      </c>
      <c r="I4" s="2564" t="s">
        <v>856</v>
      </c>
      <c r="J4" s="2569" t="s">
        <v>4422</v>
      </c>
      <c r="K4" s="2563"/>
      <c r="L4" s="2564">
        <v>0</v>
      </c>
      <c r="M4" s="2570"/>
      <c r="N4" s="2094"/>
      <c r="O4" s="2094"/>
      <c r="P4" s="2080"/>
    </row>
    <row r="5" spans="3:16" outlineLevel="1">
      <c r="E5" s="2565"/>
      <c r="F5" s="2571" t="s">
        <v>4423</v>
      </c>
      <c r="G5" s="2564" t="s">
        <v>4424</v>
      </c>
      <c r="H5" s="2564" t="s">
        <v>4425</v>
      </c>
      <c r="I5" s="2571" t="s">
        <v>4426</v>
      </c>
      <c r="J5" s="2571" t="s">
        <v>4427</v>
      </c>
      <c r="K5" s="2564" t="s">
        <v>4425</v>
      </c>
      <c r="L5" s="2571" t="s">
        <v>4428</v>
      </c>
      <c r="M5" s="2572" t="s">
        <v>4429</v>
      </c>
      <c r="N5" s="2094"/>
      <c r="O5" s="2094"/>
      <c r="P5" s="2080"/>
    </row>
    <row r="6" spans="3:16" outlineLevel="1">
      <c r="E6" s="2573"/>
      <c r="F6" s="2574">
        <v>18</v>
      </c>
      <c r="G6" s="2575" t="s">
        <v>2051</v>
      </c>
      <c r="H6" s="2574">
        <v>0</v>
      </c>
      <c r="I6" s="2574">
        <f>H6*15</f>
        <v>0</v>
      </c>
      <c r="J6" s="2576" t="s">
        <v>4430</v>
      </c>
      <c r="K6" s="2574">
        <v>0</v>
      </c>
      <c r="L6" s="2577">
        <f>K6*3*15</f>
        <v>0</v>
      </c>
      <c r="M6" s="2649">
        <f>H21+K21</f>
        <v>0</v>
      </c>
      <c r="N6" s="2094"/>
      <c r="O6" s="2094"/>
      <c r="P6" s="2080"/>
    </row>
    <row r="7" spans="3:16" outlineLevel="1">
      <c r="C7" s="2083"/>
      <c r="E7" s="2578"/>
      <c r="F7" s="2574" t="s">
        <v>4431</v>
      </c>
      <c r="G7" s="2579" t="s">
        <v>2052</v>
      </c>
      <c r="H7" s="2574">
        <v>0</v>
      </c>
      <c r="I7" s="2574">
        <f>H7*25</f>
        <v>0</v>
      </c>
      <c r="J7" s="2576" t="s">
        <v>4432</v>
      </c>
      <c r="K7" s="2574">
        <v>0</v>
      </c>
      <c r="L7" s="2577">
        <f>K7*3*25</f>
        <v>0</v>
      </c>
      <c r="M7" s="2650"/>
      <c r="N7" s="2094"/>
      <c r="O7" s="2580"/>
      <c r="P7" s="2080"/>
    </row>
    <row r="8" spans="3:16" outlineLevel="1">
      <c r="D8" s="2084"/>
      <c r="E8" s="2565"/>
      <c r="F8" s="2574">
        <v>22</v>
      </c>
      <c r="G8" s="2579" t="s">
        <v>4433</v>
      </c>
      <c r="H8" s="2574">
        <v>0</v>
      </c>
      <c r="I8" s="2574">
        <f>H8*37.5</f>
        <v>0</v>
      </c>
      <c r="J8" s="2576" t="s">
        <v>4434</v>
      </c>
      <c r="K8" s="2574">
        <v>0</v>
      </c>
      <c r="L8" s="2577">
        <f>K8*3*37.5</f>
        <v>0</v>
      </c>
      <c r="M8" s="2572" t="s">
        <v>4435</v>
      </c>
      <c r="N8" s="2094"/>
      <c r="O8" s="2094"/>
      <c r="P8" s="2080"/>
    </row>
    <row r="9" spans="3:16" outlineLevel="1">
      <c r="D9" s="2083"/>
      <c r="E9" s="2565"/>
      <c r="F9" s="2581"/>
      <c r="G9" s="2579" t="s">
        <v>2053</v>
      </c>
      <c r="H9" s="2574">
        <v>0</v>
      </c>
      <c r="I9" s="2574">
        <f>H9*50</f>
        <v>0</v>
      </c>
      <c r="J9" s="2576" t="s">
        <v>4436</v>
      </c>
      <c r="K9" s="2574">
        <v>0</v>
      </c>
      <c r="L9" s="2577">
        <f>K9*3*50</f>
        <v>0</v>
      </c>
      <c r="M9" s="2649">
        <f>I24+L24</f>
        <v>750</v>
      </c>
      <c r="N9" s="2094"/>
      <c r="O9" s="2094"/>
      <c r="P9" s="2080"/>
    </row>
    <row r="10" spans="3:16" outlineLevel="1">
      <c r="D10" s="2083"/>
      <c r="E10" s="2565"/>
      <c r="F10" s="2582"/>
      <c r="G10" s="2583" t="s">
        <v>2054</v>
      </c>
      <c r="H10" s="2574">
        <v>0</v>
      </c>
      <c r="I10" s="2574">
        <f>H10*75</f>
        <v>0</v>
      </c>
      <c r="J10" s="2584" t="s">
        <v>4437</v>
      </c>
      <c r="K10" s="2574">
        <v>0</v>
      </c>
      <c r="L10" s="2577">
        <f>K10*160</f>
        <v>0</v>
      </c>
      <c r="M10" s="2651"/>
      <c r="N10" s="2094"/>
      <c r="O10" s="2094"/>
      <c r="P10" s="2080"/>
    </row>
    <row r="11" spans="3:16" outlineLevel="1">
      <c r="D11" s="2083"/>
      <c r="E11" s="2565"/>
      <c r="F11" s="2582"/>
      <c r="G11" s="2583" t="s">
        <v>2055</v>
      </c>
      <c r="H11" s="2574">
        <v>0</v>
      </c>
      <c r="I11" s="2574">
        <f>H11*100</f>
        <v>0</v>
      </c>
      <c r="J11" s="2584" t="s">
        <v>4438</v>
      </c>
      <c r="K11" s="2574">
        <v>0</v>
      </c>
      <c r="L11" s="2577">
        <f>K11*250</f>
        <v>0</v>
      </c>
      <c r="M11" s="2651"/>
      <c r="N11" s="2094"/>
      <c r="O11" s="2094"/>
      <c r="P11" s="2080"/>
    </row>
    <row r="12" spans="3:16" outlineLevel="1">
      <c r="D12" s="2083"/>
      <c r="E12" s="2565"/>
      <c r="F12" s="2582"/>
      <c r="G12" s="2585"/>
      <c r="H12" s="2574"/>
      <c r="I12" s="2586"/>
      <c r="J12" s="2584" t="s">
        <v>4439</v>
      </c>
      <c r="K12" s="2574">
        <v>0</v>
      </c>
      <c r="L12" s="2577">
        <f>K12*320</f>
        <v>0</v>
      </c>
      <c r="M12" s="2651"/>
      <c r="N12" s="2094"/>
      <c r="O12" s="2094"/>
      <c r="P12" s="2080"/>
    </row>
    <row r="13" spans="3:16" outlineLevel="1">
      <c r="D13" s="2083"/>
      <c r="E13" s="2565"/>
      <c r="F13" s="2582"/>
      <c r="G13" s="2585"/>
      <c r="H13" s="2574"/>
      <c r="I13" s="2586"/>
      <c r="J13" s="2584" t="s">
        <v>4440</v>
      </c>
      <c r="K13" s="2574">
        <v>0</v>
      </c>
      <c r="L13" s="2577">
        <f>K13*400</f>
        <v>0</v>
      </c>
      <c r="M13" s="2651"/>
      <c r="N13" s="2094"/>
      <c r="O13" s="2094"/>
      <c r="P13" s="2080"/>
    </row>
    <row r="14" spans="3:16" outlineLevel="1">
      <c r="D14" s="2083"/>
      <c r="E14" s="2565"/>
      <c r="F14" s="2582"/>
      <c r="G14" s="2585"/>
      <c r="H14" s="2574"/>
      <c r="I14" s="2586"/>
      <c r="J14" s="2584" t="s">
        <v>4441</v>
      </c>
      <c r="K14" s="2574">
        <v>0</v>
      </c>
      <c r="L14" s="2577">
        <f>K14*560</f>
        <v>0</v>
      </c>
      <c r="M14" s="2651"/>
      <c r="N14" s="2094"/>
      <c r="O14" s="2094"/>
      <c r="P14" s="2080"/>
    </row>
    <row r="15" spans="3:16" outlineLevel="1">
      <c r="D15" s="2083"/>
      <c r="E15" s="2565"/>
      <c r="F15" s="2582"/>
      <c r="G15" s="2585"/>
      <c r="H15" s="2574"/>
      <c r="I15" s="2586"/>
      <c r="J15" s="2584" t="s">
        <v>4442</v>
      </c>
      <c r="K15" s="2574">
        <v>0</v>
      </c>
      <c r="L15" s="2577">
        <f>K15*630</f>
        <v>0</v>
      </c>
      <c r="M15" s="2651"/>
      <c r="N15" s="2094"/>
      <c r="O15" s="2094"/>
      <c r="P15" s="2080"/>
    </row>
    <row r="16" spans="3:16" outlineLevel="1">
      <c r="D16" s="2083"/>
      <c r="E16" s="2565"/>
      <c r="F16" s="2582"/>
      <c r="G16" s="2585"/>
      <c r="H16" s="2574"/>
      <c r="I16" s="2586"/>
      <c r="J16" s="2584" t="s">
        <v>6101</v>
      </c>
      <c r="K16" s="2574">
        <v>1</v>
      </c>
      <c r="L16" s="2577">
        <f>K16*750</f>
        <v>750</v>
      </c>
      <c r="M16" s="2651"/>
      <c r="N16" s="2094"/>
      <c r="O16" s="2094"/>
      <c r="P16" s="2080"/>
    </row>
    <row r="17" spans="1:26" outlineLevel="1">
      <c r="D17" s="2083"/>
      <c r="E17" s="2565"/>
      <c r="F17" s="2587"/>
      <c r="G17" s="2583"/>
      <c r="H17" s="2574"/>
      <c r="I17" s="2586"/>
      <c r="J17" s="2588">
        <v>1000</v>
      </c>
      <c r="K17" s="2574">
        <v>0</v>
      </c>
      <c r="L17" s="2577">
        <f>K17*1000</f>
        <v>0</v>
      </c>
      <c r="M17" s="2652"/>
      <c r="N17" s="2094"/>
      <c r="O17" s="2094"/>
      <c r="P17" s="2080"/>
    </row>
    <row r="18" spans="1:26" outlineLevel="1">
      <c r="D18" s="2083"/>
      <c r="E18" s="2565"/>
      <c r="F18" s="2587"/>
      <c r="G18" s="2583"/>
      <c r="H18" s="2574"/>
      <c r="I18" s="2586"/>
      <c r="J18" s="2588">
        <v>1250</v>
      </c>
      <c r="K18" s="2574"/>
      <c r="L18" s="2577">
        <f>K18*1000</f>
        <v>0</v>
      </c>
      <c r="M18" s="2652"/>
      <c r="N18" s="2094"/>
      <c r="O18" s="2094"/>
      <c r="P18" s="2080"/>
    </row>
    <row r="19" spans="1:26" outlineLevel="1">
      <c r="D19" s="2083"/>
      <c r="E19" s="2565"/>
      <c r="F19" s="2587"/>
      <c r="G19" s="2583"/>
      <c r="H19" s="2574"/>
      <c r="I19" s="2586"/>
      <c r="J19" s="2588">
        <v>1500</v>
      </c>
      <c r="K19" s="2574">
        <v>0</v>
      </c>
      <c r="L19" s="2577">
        <f>K19*1500</f>
        <v>0</v>
      </c>
      <c r="M19" s="2652"/>
      <c r="N19" s="2094"/>
      <c r="O19" s="2094"/>
      <c r="P19" s="2080"/>
    </row>
    <row r="20" spans="1:26" outlineLevel="1">
      <c r="D20" s="2083"/>
      <c r="E20" s="2565"/>
      <c r="F20" s="2587"/>
      <c r="G20" s="2583"/>
      <c r="H20" s="2574"/>
      <c r="I20" s="2586"/>
      <c r="J20" s="2588">
        <v>1600</v>
      </c>
      <c r="K20" s="2574">
        <v>0</v>
      </c>
      <c r="L20" s="2577">
        <f>K20*1600</f>
        <v>0</v>
      </c>
      <c r="M20" s="2652"/>
      <c r="N20" s="2094"/>
      <c r="O20" s="2094"/>
      <c r="P20" s="2080"/>
    </row>
    <row r="21" spans="1:26" outlineLevel="1">
      <c r="E21" s="2565"/>
      <c r="F21" s="2589"/>
      <c r="G21" s="2590"/>
      <c r="H21" s="2574"/>
      <c r="I21" s="2591"/>
      <c r="J21" s="2592">
        <v>2000</v>
      </c>
      <c r="K21" s="2574">
        <v>0</v>
      </c>
      <c r="L21" s="2577">
        <f>K21*2000</f>
        <v>0</v>
      </c>
      <c r="M21" s="2650"/>
      <c r="N21" s="2094"/>
      <c r="O21" s="2094"/>
      <c r="P21" s="2080"/>
    </row>
    <row r="22" spans="1:26" outlineLevel="1">
      <c r="E22" s="2593"/>
      <c r="F22" s="2594"/>
      <c r="G22" s="2595"/>
      <c r="H22" s="2596"/>
      <c r="I22" s="2591"/>
      <c r="J22" s="2592">
        <v>2500</v>
      </c>
      <c r="K22" s="2574">
        <v>0</v>
      </c>
      <c r="L22" s="2577">
        <f>K22*2500</f>
        <v>0</v>
      </c>
      <c r="M22" s="2597"/>
      <c r="N22" s="2094"/>
      <c r="O22" s="2094"/>
      <c r="P22" s="2080"/>
    </row>
    <row r="23" spans="1:26" outlineLevel="1">
      <c r="E23" s="2593">
        <f>750*1.5</f>
        <v>1125</v>
      </c>
      <c r="F23" s="2594"/>
      <c r="G23" s="2595"/>
      <c r="H23" s="2596"/>
      <c r="I23" s="2591">
        <f>SUM(I6:I11)</f>
        <v>0</v>
      </c>
      <c r="J23" s="2598" t="s">
        <v>6102</v>
      </c>
      <c r="K23" s="2574">
        <v>0</v>
      </c>
      <c r="L23" s="2577">
        <f>+K23*180</f>
        <v>0</v>
      </c>
      <c r="M23" s="2597"/>
      <c r="N23" s="2094"/>
      <c r="O23" s="2094"/>
      <c r="P23" s="2080"/>
    </row>
    <row r="24" spans="1:26" ht="13.95" hidden="1" customHeight="1">
      <c r="A24" s="2080" t="s">
        <v>512</v>
      </c>
      <c r="F24" s="2086"/>
      <c r="G24" s="2087"/>
      <c r="H24" s="2088"/>
      <c r="I24" s="2082">
        <f>+SUM(I6:I23)</f>
        <v>0</v>
      </c>
      <c r="J24" s="2089"/>
      <c r="K24" s="2088"/>
      <c r="L24" s="2082">
        <f>+SUM(L6:L23)</f>
        <v>750</v>
      </c>
      <c r="M24" s="2085"/>
    </row>
    <row r="25" spans="1:26" ht="13.95" hidden="1" customHeight="1">
      <c r="F25" s="2086"/>
      <c r="G25" s="2087"/>
      <c r="H25" s="2088"/>
      <c r="I25" s="2091"/>
      <c r="J25" s="2089"/>
      <c r="K25" s="2088"/>
      <c r="L25" s="2091"/>
      <c r="M25" s="2085"/>
    </row>
    <row r="26" spans="1:26" s="2092" customFormat="1" ht="16.95" hidden="1" customHeight="1">
      <c r="A26" s="2092" t="s">
        <v>1016</v>
      </c>
      <c r="C26" s="2599" t="s">
        <v>6398</v>
      </c>
      <c r="D26" s="2600"/>
      <c r="E26" s="2600"/>
      <c r="F26" s="2600"/>
      <c r="G26" s="2601"/>
      <c r="H26" s="2600"/>
      <c r="I26" s="2600"/>
      <c r="J26" s="2600"/>
      <c r="K26" s="2600"/>
      <c r="L26" s="2600"/>
      <c r="M26" s="2600"/>
      <c r="N26" s="2600"/>
      <c r="O26" s="2600"/>
      <c r="P26" s="2602"/>
      <c r="R26" s="2093"/>
    </row>
    <row r="27" spans="1:26" s="2094" customFormat="1" ht="16.95" customHeight="1">
      <c r="C27" s="2599" t="s">
        <v>6103</v>
      </c>
      <c r="D27" s="2133"/>
      <c r="E27" s="2133"/>
      <c r="F27" s="2133"/>
      <c r="G27" s="2133"/>
      <c r="H27" s="2133"/>
      <c r="I27" s="2133"/>
      <c r="J27" s="2133"/>
      <c r="K27" s="2133"/>
      <c r="L27" s="2133"/>
      <c r="M27" s="2133"/>
      <c r="N27" s="2138"/>
      <c r="O27" s="2138"/>
      <c r="P27" s="2603"/>
      <c r="R27" s="2080"/>
    </row>
    <row r="28" spans="1:26" ht="13.95"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outlineLevel="1">
      <c r="A31" s="2097" t="str">
        <f>A29</f>
        <v xml:space="preserve"> </v>
      </c>
      <c r="B31" s="2097" t="s">
        <v>6104</v>
      </c>
      <c r="C31" s="2637" t="s">
        <v>1708</v>
      </c>
      <c r="D31" s="2638" t="s">
        <v>2597</v>
      </c>
      <c r="E31" s="2640" t="s">
        <v>2598</v>
      </c>
      <c r="F31" s="2637" t="s">
        <v>2593</v>
      </c>
      <c r="G31" s="2098" t="s">
        <v>6105</v>
      </c>
      <c r="H31" s="2101" t="s">
        <v>6106</v>
      </c>
      <c r="I31" s="2608"/>
      <c r="J31" s="2608"/>
      <c r="K31" s="2609"/>
      <c r="L31" s="2101" t="s">
        <v>6107</v>
      </c>
      <c r="M31" s="2608"/>
      <c r="N31" s="2608"/>
      <c r="O31" s="2609"/>
      <c r="P31" s="2637" t="s">
        <v>2599</v>
      </c>
      <c r="Q31" s="2099"/>
      <c r="R31" s="2099"/>
      <c r="S31" s="2099"/>
      <c r="T31" s="2099"/>
      <c r="U31" s="2099"/>
      <c r="V31" s="2099"/>
      <c r="W31" s="2099"/>
      <c r="X31" s="2099"/>
      <c r="Y31" s="2099"/>
      <c r="Z31" s="2099"/>
    </row>
    <row r="32" spans="1:26" s="2094" customFormat="1" outlineLevel="1">
      <c r="A32" s="2097" t="str">
        <f>A31</f>
        <v xml:space="preserve"> </v>
      </c>
      <c r="B32" s="2097"/>
      <c r="C32" s="2637"/>
      <c r="D32" s="2639"/>
      <c r="E32" s="2641"/>
      <c r="F32" s="2637"/>
      <c r="G32" s="2100" t="s">
        <v>2286</v>
      </c>
      <c r="H32" s="2101" t="s">
        <v>6108</v>
      </c>
      <c r="I32" s="2101" t="s">
        <v>6109</v>
      </c>
      <c r="J32" s="2101" t="s">
        <v>6110</v>
      </c>
      <c r="K32" s="2101" t="s">
        <v>6111</v>
      </c>
      <c r="L32" s="2101" t="s">
        <v>6108</v>
      </c>
      <c r="M32" s="2101" t="s">
        <v>6109</v>
      </c>
      <c r="N32" s="2101" t="s">
        <v>6110</v>
      </c>
      <c r="O32" s="2101" t="s">
        <v>6111</v>
      </c>
      <c r="P32" s="2637"/>
      <c r="Q32" s="2099"/>
      <c r="R32" s="2099"/>
      <c r="S32" s="2099"/>
      <c r="T32" s="2099"/>
      <c r="U32" s="2099"/>
      <c r="V32" s="2099"/>
      <c r="W32" s="2099"/>
      <c r="X32" s="2099"/>
      <c r="Y32" s="2099"/>
      <c r="Z32" s="2099"/>
    </row>
    <row r="33" spans="1:27" s="2094" customFormat="1"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outlineLevel="1">
      <c r="A34" s="2097" t="str">
        <f t="shared" ref="A34:A65" si="0">VLOOKUP(B34,DonGia,3,0)</f>
        <v>Máy biến áp 12,7/0,22-0,44kV  15kVA</v>
      </c>
      <c r="B34" s="2107" t="str">
        <f>IF($F$8=22,"TR151","TR15")</f>
        <v>TR151</v>
      </c>
      <c r="C34" s="2108">
        <f>IF(G34&gt;0,1,0)</f>
        <v>0</v>
      </c>
      <c r="D34" s="2109" t="s">
        <v>5579</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outlineLevel="1">
      <c r="A35" s="2097" t="str">
        <f t="shared" si="0"/>
        <v>FCO 24kV - 100A</v>
      </c>
      <c r="B35" s="2107" t="str">
        <f>"FCO100-"&amp;$F$8</f>
        <v>FCO100-22</v>
      </c>
      <c r="C35" s="2108">
        <f t="shared" ref="C35:C41" si="5">IF(G35&gt;0,C34+1,C34)</f>
        <v>0</v>
      </c>
      <c r="D35" s="2109" t="s">
        <v>5594</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outlineLevel="1">
      <c r="A37" s="2097" t="str">
        <f t="shared" si="0"/>
        <v>Chống sét van LA-18KV-10KA</v>
      </c>
      <c r="B37" s="2119" t="str">
        <f>"LA"&amp;F6</f>
        <v>LA18</v>
      </c>
      <c r="C37" s="2108">
        <f t="shared" si="5"/>
        <v>0</v>
      </c>
      <c r="D37" s="2109" t="s">
        <v>5598</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outlineLevel="1">
      <c r="A38" s="2097" t="str">
        <f t="shared" si="0"/>
        <v>MCCB 3 cực 400V-75A - 10KA</v>
      </c>
      <c r="B38" s="2121" t="s">
        <v>81</v>
      </c>
      <c r="C38" s="2108">
        <f t="shared" si="5"/>
        <v>0</v>
      </c>
      <c r="D38" s="2109">
        <v>0</v>
      </c>
      <c r="E38" s="2110" t="s">
        <v>5675</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6112</v>
      </c>
      <c r="R39" s="2120"/>
    </row>
    <row r="40" spans="1:27" s="2094" customFormat="1"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6112</v>
      </c>
      <c r="R40" s="2120"/>
    </row>
    <row r="41" spans="1:27" s="2094" customFormat="1"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6112</v>
      </c>
      <c r="R41" s="2120"/>
    </row>
    <row r="42" spans="1:27" s="2094" customFormat="1" outlineLevel="1">
      <c r="A42" s="2097" t="e">
        <f t="shared" si="0"/>
        <v>#N/A</v>
      </c>
      <c r="B42" s="2097"/>
      <c r="C42" s="2124"/>
      <c r="D42" s="2125"/>
      <c r="E42" s="2610"/>
      <c r="F42" s="2124"/>
      <c r="G42" s="2124"/>
      <c r="H42" s="2124"/>
      <c r="I42" s="2124"/>
      <c r="J42" s="2106" t="s">
        <v>6113</v>
      </c>
      <c r="K42" s="2124"/>
      <c r="L42" s="2106">
        <f>SUM(L34:L41)</f>
        <v>0</v>
      </c>
      <c r="M42" s="2106">
        <f>SUM(M34:M41)</f>
        <v>0</v>
      </c>
      <c r="N42" s="2106">
        <f>SUM(N34:N41)</f>
        <v>0</v>
      </c>
      <c r="O42" s="2106">
        <f>SUM(O34:O41)</f>
        <v>0</v>
      </c>
      <c r="P42" s="2124"/>
      <c r="R42" s="2120"/>
    </row>
    <row r="43" spans="1:27" s="2094" customFormat="1"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outlineLevel="1">
      <c r="A45" s="2097" t="e">
        <f t="shared" si="0"/>
        <v>#N/A</v>
      </c>
      <c r="B45" s="2119"/>
      <c r="C45" s="2134">
        <f>IF(G45&gt;0,C44+1,C44)</f>
        <v>0</v>
      </c>
      <c r="D45" s="2135"/>
      <c r="E45" s="2136" t="s">
        <v>6114</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4.4"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outlineLevel="1">
      <c r="A50" s="2097" t="e">
        <f t="shared" si="0"/>
        <v>#N/A</v>
      </c>
      <c r="B50" s="2119"/>
      <c r="C50" s="2134">
        <f>IF(G50&gt;0,C45+1,C45)</f>
        <v>0</v>
      </c>
      <c r="D50" s="2135"/>
      <c r="E50" s="2136" t="s">
        <v>6115</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4.4"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outlineLevel="1">
      <c r="A52" s="2097" t="str">
        <f t="shared" si="0"/>
        <v>Đà cản BTCT 1,2m</v>
      </c>
      <c r="B52" s="2122" t="s">
        <v>636</v>
      </c>
      <c r="C52" s="2116"/>
      <c r="D52" s="2109" t="s">
        <v>5043</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outlineLevel="1">
      <c r="A53" s="2097" t="str">
        <f t="shared" si="0"/>
        <v>Boulon 22x650+ 2 long đền vuông D24-50x50x3/Zn</v>
      </c>
      <c r="B53" s="2122" t="s">
        <v>566</v>
      </c>
      <c r="C53" s="2116"/>
      <c r="D53" s="2109">
        <v>0</v>
      </c>
      <c r="E53" s="2110" t="s">
        <v>5068</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outlineLevel="1">
      <c r="A54" s="2097" t="str">
        <f t="shared" si="0"/>
        <v>Đào hố móng đất cấp 3 sâu &gt;1m</v>
      </c>
      <c r="B54" s="2122" t="s">
        <v>639</v>
      </c>
      <c r="C54" s="2116"/>
      <c r="D54" s="2109" t="s">
        <v>1747</v>
      </c>
      <c r="E54" s="2110" t="s">
        <v>5320</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outlineLevel="1">
      <c r="A55" s="2097" t="str">
        <f t="shared" si="0"/>
        <v>Đắp đất hố móng, độ chặt k=0,95</v>
      </c>
      <c r="B55" s="2122" t="s">
        <v>21</v>
      </c>
      <c r="C55" s="2116"/>
      <c r="D55" s="2109" t="s">
        <v>5321</v>
      </c>
      <c r="E55" s="2110" t="s">
        <v>5322</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outlineLevel="1">
      <c r="A56" s="2097" t="e">
        <f t="shared" si="0"/>
        <v>#N/A</v>
      </c>
      <c r="B56" s="2119"/>
      <c r="C56" s="2134">
        <f>IF(G56&gt;0,C50+1,C50)</f>
        <v>0</v>
      </c>
      <c r="D56" s="2135"/>
      <c r="E56" s="2136" t="s">
        <v>6116</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4.4"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outlineLevel="1">
      <c r="A58" s="2097" t="str">
        <f t="shared" si="0"/>
        <v>Đà Composite 110x80x5x800</v>
      </c>
      <c r="B58" s="2122" t="s">
        <v>5153</v>
      </c>
      <c r="C58" s="2116"/>
      <c r="D58" s="2109">
        <v>0</v>
      </c>
      <c r="E58" s="2110" t="s">
        <v>4862</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outlineLevel="1">
      <c r="A59" s="2097" t="str">
        <f t="shared" si="0"/>
        <v>Chống Composite 40x10x710</v>
      </c>
      <c r="B59" s="2122" t="s">
        <v>5157</v>
      </c>
      <c r="C59" s="2116"/>
      <c r="D59" s="2139"/>
      <c r="E59" s="2110" t="s">
        <v>5158</v>
      </c>
      <c r="F59" s="2109" t="s">
        <v>5156</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outlineLevel="1">
      <c r="A60" s="2097" t="str">
        <f t="shared" si="0"/>
        <v>Bass LL bắt FCO, LA</v>
      </c>
      <c r="B60" s="2122" t="s">
        <v>2271</v>
      </c>
      <c r="C60" s="2116"/>
      <c r="D60" s="2139"/>
      <c r="E60" s="2110" t="s">
        <v>5074</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outlineLevel="1">
      <c r="A61" s="2097" t="str">
        <f t="shared" si="0"/>
        <v>Nắp che đầu cực FCO</v>
      </c>
      <c r="B61" s="2119" t="s">
        <v>6117</v>
      </c>
      <c r="C61" s="2116"/>
      <c r="D61" s="2139"/>
      <c r="E61" s="2110" t="s">
        <v>5696</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outlineLevel="1">
      <c r="A62" s="2097" t="str">
        <f t="shared" si="0"/>
        <v>Nắp che đầu cực LA</v>
      </c>
      <c r="B62" s="2119" t="s">
        <v>6118</v>
      </c>
      <c r="C62" s="2116"/>
      <c r="D62" s="2139"/>
      <c r="E62" s="2110" t="s">
        <v>5702</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outlineLevel="1">
      <c r="A65" s="2097" t="str">
        <f t="shared" si="0"/>
        <v>Lắp xà đỡ ≤ 25kg</v>
      </c>
      <c r="B65" s="2122" t="s">
        <v>1995</v>
      </c>
      <c r="C65" s="2116"/>
      <c r="D65" s="2109" t="s">
        <v>5374</v>
      </c>
      <c r="E65" s="2110" t="s">
        <v>5375</v>
      </c>
      <c r="F65" s="2109" t="s">
        <v>2439</v>
      </c>
      <c r="G65" s="2116">
        <f>G56</f>
        <v>0</v>
      </c>
      <c r="H65" s="2112">
        <v>0</v>
      </c>
      <c r="I65" s="2117"/>
      <c r="J65" s="2142" t="s">
        <v>6298</v>
      </c>
      <c r="K65" s="2112">
        <v>0</v>
      </c>
      <c r="L65" s="2118">
        <f t="shared" si="6"/>
        <v>0</v>
      </c>
      <c r="M65" s="2118">
        <f t="shared" si="7"/>
        <v>0</v>
      </c>
      <c r="N65" s="2143">
        <v>0</v>
      </c>
      <c r="O65" s="2117">
        <f t="shared" si="8"/>
        <v>0</v>
      </c>
      <c r="P65" s="2144"/>
    </row>
    <row r="66" spans="1:16" s="2094" customFormat="1" outlineLevel="1">
      <c r="A66" s="2097" t="e">
        <f t="shared" ref="A66:A97" si="10">VLOOKUP(B66,DonGia,3,0)</f>
        <v>#N/A</v>
      </c>
      <c r="B66" s="2119"/>
      <c r="C66" s="2134">
        <f>IF(G66&gt;0,C56+1,C56)</f>
        <v>0</v>
      </c>
      <c r="D66" s="2135"/>
      <c r="E66" s="2136" t="s">
        <v>6119</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4.4"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outlineLevel="1">
      <c r="A68" s="2097" t="str">
        <f t="shared" si="10"/>
        <v>Cáp đồng trần M25mm2</v>
      </c>
      <c r="B68" s="2119" t="s">
        <v>1033</v>
      </c>
      <c r="C68" s="2116"/>
      <c r="D68" s="2109">
        <v>0</v>
      </c>
      <c r="E68" s="2110" t="s">
        <v>6299</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outlineLevel="1">
      <c r="A69" s="2097" t="str">
        <f t="shared" si="10"/>
        <v>Cọc tiếp đất Þ 16- 2,4m + kẹp cọc mạ đồng</v>
      </c>
      <c r="B69" s="2122" t="s">
        <v>1508</v>
      </c>
      <c r="C69" s="2116"/>
      <c r="D69" s="2109">
        <v>0</v>
      </c>
      <c r="E69" s="2110" t="s">
        <v>5159</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outlineLevel="1">
      <c r="A73" s="2097" t="str">
        <f t="shared" si="10"/>
        <v>Cổ dê kẹp ống PVC  21</v>
      </c>
      <c r="B73" s="2122" t="s">
        <v>525</v>
      </c>
      <c r="C73" s="2116"/>
      <c r="D73" s="2109">
        <v>0</v>
      </c>
      <c r="E73" s="2110" t="s">
        <v>6300</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outlineLevel="1">
      <c r="A74" s="2097" t="str">
        <f t="shared" si="10"/>
        <v>Cổ dê kẹp ống PVC  21</v>
      </c>
      <c r="B74" s="2122" t="s">
        <v>525</v>
      </c>
      <c r="C74" s="2116"/>
      <c r="D74" s="2109">
        <v>0</v>
      </c>
      <c r="E74" s="2110" t="s">
        <v>6301</v>
      </c>
      <c r="F74" s="2109" t="s">
        <v>2439</v>
      </c>
      <c r="G74" s="2146">
        <f>G66*0.452</f>
        <v>0</v>
      </c>
      <c r="H74" s="2112">
        <v>43000</v>
      </c>
      <c r="I74" s="2117"/>
      <c r="J74" s="2112"/>
      <c r="K74" s="2112">
        <v>0</v>
      </c>
      <c r="L74" s="2118">
        <f t="shared" si="6"/>
        <v>0</v>
      </c>
      <c r="M74" s="2118"/>
      <c r="N74" s="2112">
        <v>0</v>
      </c>
      <c r="O74" s="2117">
        <f t="shared" si="8"/>
        <v>0</v>
      </c>
      <c r="P74" s="2144"/>
    </row>
    <row r="75" spans="1:16" s="2094" customFormat="1" outlineLevel="1">
      <c r="A75" s="2097" t="str">
        <f t="shared" si="10"/>
        <v>Cổ dê kẹp ống PVC  21</v>
      </c>
      <c r="B75" s="2122" t="s">
        <v>525</v>
      </c>
      <c r="C75" s="2116"/>
      <c r="D75" s="2109">
        <v>0</v>
      </c>
      <c r="E75" s="2110" t="s">
        <v>6302</v>
      </c>
      <c r="F75" s="2109" t="s">
        <v>2439</v>
      </c>
      <c r="G75" s="2146">
        <f>G66*0.501</f>
        <v>0</v>
      </c>
      <c r="H75" s="2112">
        <v>43000</v>
      </c>
      <c r="I75" s="2117"/>
      <c r="J75" s="2112"/>
      <c r="K75" s="2112">
        <v>0</v>
      </c>
      <c r="L75" s="2118">
        <f t="shared" si="6"/>
        <v>0</v>
      </c>
      <c r="M75" s="2118"/>
      <c r="N75" s="2112">
        <v>0</v>
      </c>
      <c r="O75" s="2117">
        <f t="shared" si="8"/>
        <v>0</v>
      </c>
      <c r="P75" s="2144"/>
    </row>
    <row r="76" spans="1:16" s="2094" customFormat="1" outlineLevel="1">
      <c r="A76" s="2097" t="str">
        <f t="shared" si="10"/>
        <v>Lắp cổ dê</v>
      </c>
      <c r="B76" s="2122" t="s">
        <v>1131</v>
      </c>
      <c r="C76" s="2116"/>
      <c r="D76" s="2109" t="s">
        <v>5268</v>
      </c>
      <c r="E76" s="2110" t="s">
        <v>6303</v>
      </c>
      <c r="F76" s="2109" t="s">
        <v>2555</v>
      </c>
      <c r="G76" s="2146">
        <f>G67*0.501</f>
        <v>0</v>
      </c>
      <c r="H76" s="2112"/>
      <c r="I76" s="2117"/>
      <c r="J76" s="2112">
        <v>77000</v>
      </c>
      <c r="K76" s="2112">
        <v>0</v>
      </c>
      <c r="L76" s="2118">
        <f t="shared" si="6"/>
        <v>0</v>
      </c>
      <c r="M76" s="2118"/>
      <c r="N76" s="2112">
        <v>0</v>
      </c>
      <c r="O76" s="2117">
        <f t="shared" si="8"/>
        <v>0</v>
      </c>
      <c r="P76" s="2144"/>
    </row>
    <row r="77" spans="1:16" s="2094" customFormat="1"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outlineLevel="1">
      <c r="A78" s="2097" t="str">
        <f t="shared" si="10"/>
        <v>Đóng cọc tiếp địa trong TBA</v>
      </c>
      <c r="B78" s="2122" t="s">
        <v>902</v>
      </c>
      <c r="C78" s="2116"/>
      <c r="D78" s="2109" t="s">
        <v>5347</v>
      </c>
      <c r="E78" s="2110" t="s">
        <v>5348</v>
      </c>
      <c r="F78" s="2109" t="s">
        <v>2278</v>
      </c>
      <c r="G78" s="2116">
        <f>G69</f>
        <v>0</v>
      </c>
      <c r="H78" s="2112"/>
      <c r="I78" s="2112"/>
      <c r="J78" s="2112" t="s">
        <v>6304</v>
      </c>
      <c r="K78" s="2112">
        <v>1573.075</v>
      </c>
      <c r="L78" s="2118">
        <f t="shared" si="6"/>
        <v>0</v>
      </c>
      <c r="M78" s="2118">
        <f>I78*G78</f>
        <v>0</v>
      </c>
      <c r="N78" s="2112">
        <v>0</v>
      </c>
      <c r="O78" s="2117">
        <f t="shared" si="8"/>
        <v>0</v>
      </c>
      <c r="P78" s="2116"/>
    </row>
    <row r="79" spans="1:16" s="2094" customFormat="1" outlineLevel="1">
      <c r="A79" s="2097" t="str">
        <f t="shared" si="10"/>
        <v>Kéo dây tiếp địa trong TBA</v>
      </c>
      <c r="B79" s="2122" t="s">
        <v>2183</v>
      </c>
      <c r="C79" s="2116"/>
      <c r="D79" s="2109" t="s">
        <v>5342</v>
      </c>
      <c r="E79" s="2110" t="s">
        <v>5343</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outlineLevel="1">
      <c r="A80" s="2097" t="str">
        <f t="shared" si="10"/>
        <v>Đào rãnh tiếp địa đất cấp 3</v>
      </c>
      <c r="B80" s="2119" t="s">
        <v>1055</v>
      </c>
      <c r="C80" s="2116"/>
      <c r="D80" s="2109" t="s">
        <v>5332</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outlineLevel="1">
      <c r="A81" s="2097" t="str">
        <f t="shared" si="10"/>
        <v>Đắp đất rãnh tiếp độ chặt k=0,85</v>
      </c>
      <c r="B81" s="2122" t="s">
        <v>1056</v>
      </c>
      <c r="C81" s="2116"/>
      <c r="D81" s="2109" t="s">
        <v>5321</v>
      </c>
      <c r="E81" s="2110" t="s">
        <v>5333</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4.4"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outlineLevel="1">
      <c r="A84" s="2097" t="str">
        <f t="shared" si="10"/>
        <v>Tủ CB trạm 1 pha + khóa + boulon</v>
      </c>
      <c r="B84" s="2122" t="s">
        <v>616</v>
      </c>
      <c r="C84" s="2116"/>
      <c r="D84" s="2109" t="s">
        <v>5651</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outlineLevel="1">
      <c r="A86" s="2097" t="str">
        <f t="shared" si="10"/>
        <v xml:space="preserve">Bakelit 550x450 dầy 10mm </v>
      </c>
      <c r="B86" s="2119" t="s">
        <v>880</v>
      </c>
      <c r="C86" s="2116"/>
      <c r="D86" s="2139"/>
      <c r="E86" s="2110" t="s">
        <v>5795</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outlineLevel="1">
      <c r="A87" s="2097" t="e">
        <f t="shared" si="10"/>
        <v>#N/A</v>
      </c>
      <c r="B87" s="2119"/>
      <c r="C87" s="2131">
        <f>IF(G87&gt;0,C82+1,C82)</f>
        <v>0</v>
      </c>
      <c r="D87" s="2135"/>
      <c r="E87" s="2136" t="s">
        <v>6120</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4.4"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outlineLevel="1">
      <c r="A89" s="2097" t="str">
        <f t="shared" si="10"/>
        <v>Cáp 24KV C/XLPE/PVC 25mm2</v>
      </c>
      <c r="B89" s="2148" t="s">
        <v>697</v>
      </c>
      <c r="C89" s="2116"/>
      <c r="D89" s="2109">
        <v>0</v>
      </c>
      <c r="E89" s="2110" t="s">
        <v>5083</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outlineLevel="1">
      <c r="A91" s="2097" t="str">
        <f t="shared" si="10"/>
        <v>Kẹp hotline 2/0</v>
      </c>
      <c r="B91" s="2107" t="s">
        <v>1477</v>
      </c>
      <c r="C91" s="2116"/>
      <c r="D91" s="2109">
        <v>0</v>
      </c>
      <c r="E91" s="2110" t="s">
        <v>4333</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outlineLevel="1">
      <c r="A92" s="2097" t="str">
        <f t="shared" si="10"/>
        <v>Lắp cáp đồng xuống thiết bị D ≤ 95mm2</v>
      </c>
      <c r="B92" s="2107" t="s">
        <v>1525</v>
      </c>
      <c r="C92" s="2116"/>
      <c r="D92" s="2109" t="s">
        <v>5567</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outlineLevel="1">
      <c r="A93" s="2097" t="e">
        <f t="shared" si="10"/>
        <v>#N/A</v>
      </c>
      <c r="B93" s="2119"/>
      <c r="C93" s="2131">
        <f>IF(G93&gt;0,C87+1,C87)</f>
        <v>0</v>
      </c>
      <c r="D93" s="2135"/>
      <c r="E93" s="2136" t="s">
        <v>6121</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4.4"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outlineLevel="1">
      <c r="A98" s="2097" t="str">
        <f t="shared" ref="A98:A116" si="13">VLOOKUP(B98,DonGia,3,0)</f>
        <v>Đầu cosse ép Cu 50mm2</v>
      </c>
      <c r="B98" s="2119" t="str">
        <f>"Cos"&amp;RIGHT(B95,2)</f>
        <v>Cos50</v>
      </c>
      <c r="C98" s="2116"/>
      <c r="D98" s="2109" t="s">
        <v>5721</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outlineLevel="1">
      <c r="A99" s="2097" t="str">
        <f t="shared" si="13"/>
        <v>Đầu cosse ép Cu 50mm2</v>
      </c>
      <c r="B99" s="2119" t="str">
        <f>"Cos"&amp;RIGHT(B96,2)</f>
        <v>Cos50</v>
      </c>
      <c r="C99" s="2116"/>
      <c r="D99" s="2109" t="s">
        <v>5721</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outlineLevel="1">
      <c r="A102" s="2097" t="str">
        <f t="shared" si="13"/>
        <v>Nắp che đầu sứ MBA</v>
      </c>
      <c r="B102" s="2119" t="s">
        <v>6122</v>
      </c>
      <c r="C102" s="2116"/>
      <c r="D102" s="2109">
        <v>0</v>
      </c>
      <c r="E102" s="2110" t="s">
        <v>5704</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outlineLevel="1">
      <c r="A104" s="2097" t="str">
        <f t="shared" si="13"/>
        <v>Cổ dê kẹp ống PVC Ø 90</v>
      </c>
      <c r="B104" s="2122" t="s">
        <v>276</v>
      </c>
      <c r="C104" s="2116"/>
      <c r="D104" s="2109">
        <v>0</v>
      </c>
      <c r="E104" s="2110" t="s">
        <v>5253</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outlineLevel="1">
      <c r="A105" s="2097" t="str">
        <f t="shared" si="13"/>
        <v>Cổ dê kẹp ống PVC Ø 90</v>
      </c>
      <c r="B105" s="2122" t="s">
        <v>276</v>
      </c>
      <c r="C105" s="2116"/>
      <c r="D105" s="2109">
        <v>0</v>
      </c>
      <c r="E105" s="2110" t="s">
        <v>5253</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outlineLevel="1">
      <c r="A106" s="2097" t="str">
        <f t="shared" si="13"/>
        <v>Cổ dê kẹp ống PVC Ø 90</v>
      </c>
      <c r="B106" s="2122" t="s">
        <v>276</v>
      </c>
      <c r="C106" s="2116"/>
      <c r="D106" s="2109">
        <v>0</v>
      </c>
      <c r="E106" s="2110" t="s">
        <v>5253</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outlineLevel="1">
      <c r="A107" s="2097" t="str">
        <f t="shared" si="13"/>
        <v>Lắp cổ dê</v>
      </c>
      <c r="B107" s="2122" t="s">
        <v>1131</v>
      </c>
      <c r="C107" s="2116"/>
      <c r="D107" s="2109" t="s">
        <v>5268</v>
      </c>
      <c r="E107" s="2110" t="s">
        <v>5466</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outlineLevel="1">
      <c r="A109" s="2097" t="str">
        <f t="shared" si="13"/>
        <v>Co  90 độ PVC 90</v>
      </c>
      <c r="B109" s="2119" t="s">
        <v>69</v>
      </c>
      <c r="C109" s="2116"/>
      <c r="D109" s="2109">
        <v>0</v>
      </c>
      <c r="E109" s="2110" t="s">
        <v>5793</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outlineLevel="1">
      <c r="A112" s="2097" t="str">
        <f t="shared" si="13"/>
        <v>Keo silicon bít miệng ống</v>
      </c>
      <c r="B112" s="2119" t="s">
        <v>489</v>
      </c>
      <c r="C112" s="2116"/>
      <c r="D112" s="2109">
        <v>0</v>
      </c>
      <c r="E112" s="2110" t="s">
        <v>3566</v>
      </c>
      <c r="F112" s="2109" t="s">
        <v>5802</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outlineLevel="1">
      <c r="A113" s="2097" t="str">
        <f t="shared" si="13"/>
        <v>Lắp ống nhựa PVC D90</v>
      </c>
      <c r="B113" s="2119" t="s">
        <v>2182</v>
      </c>
      <c r="C113" s="2116"/>
      <c r="D113" s="2109" t="s">
        <v>5543</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outlineLevel="1">
      <c r="A114" s="2097" t="str">
        <f t="shared" si="13"/>
        <v>Lắp cáp đồng xuống thiết bị D ≤ 95mm2</v>
      </c>
      <c r="B114" s="2119" t="s">
        <v>1525</v>
      </c>
      <c r="C114" s="2116"/>
      <c r="D114" s="2109" t="s">
        <v>5567</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outlineLevel="1">
      <c r="A115" s="2097" t="str">
        <f t="shared" si="13"/>
        <v>Bảng tên trạm, bảng báo nguy hiểm + đinh vít</v>
      </c>
      <c r="B115" s="2119" t="s">
        <v>289</v>
      </c>
      <c r="C115" s="2149">
        <f>IF(G115&gt;0,C93+1,C93)</f>
        <v>0</v>
      </c>
      <c r="D115" s="2150"/>
      <c r="E115" s="2110" t="s">
        <v>5708</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outlineLevel="1">
      <c r="A116" s="2097" t="e">
        <f t="shared" si="13"/>
        <v>#N/A</v>
      </c>
      <c r="B116" s="2119"/>
      <c r="C116" s="2154"/>
      <c r="D116" s="2155"/>
      <c r="E116" s="2104"/>
      <c r="F116" s="2611"/>
      <c r="G116" s="2611"/>
      <c r="H116" s="2611"/>
      <c r="I116" s="2611"/>
      <c r="J116" s="2647" t="s">
        <v>6123</v>
      </c>
      <c r="K116" s="2647"/>
      <c r="L116" s="2156">
        <f>SUM(L44:L115)</f>
        <v>0</v>
      </c>
      <c r="M116" s="2156"/>
      <c r="N116" s="2156">
        <f>SUM(N44:N115)</f>
        <v>0</v>
      </c>
      <c r="O116" s="2156">
        <f>SUM(O44:O115)</f>
        <v>0</v>
      </c>
      <c r="P116" s="2124"/>
    </row>
    <row r="117" spans="1:18" s="2094" customFormat="1" ht="13.95" customHeight="1">
      <c r="A117" s="2138" t="str">
        <f>IF(G122&lt;&gt;0,1,"")</f>
        <v/>
      </c>
      <c r="B117" s="2120"/>
      <c r="C117" s="2612"/>
      <c r="D117" s="2138"/>
    </row>
    <row r="118" spans="1:18" s="2094" customFormat="1" outlineLevel="1">
      <c r="A118" s="2097" t="e">
        <f t="shared" ref="A118:A149" si="15">VLOOKUP(B118,DonGia,3,0)</f>
        <v>#N/A</v>
      </c>
      <c r="B118" s="2120"/>
      <c r="C118" s="2648" t="s">
        <v>6124</v>
      </c>
      <c r="D118" s="2613"/>
      <c r="E118" s="2648"/>
      <c r="F118" s="2648"/>
      <c r="G118" s="2648"/>
      <c r="H118" s="2648"/>
      <c r="I118" s="2648"/>
      <c r="J118" s="2648"/>
      <c r="K118" s="2648"/>
      <c r="L118" s="2648"/>
      <c r="M118" s="2648"/>
      <c r="N118" s="2648"/>
      <c r="O118" s="2648"/>
      <c r="P118" s="2648"/>
    </row>
    <row r="119" spans="1:18" s="2094" customFormat="1" outlineLevel="1">
      <c r="A119" s="2097" t="e">
        <f t="shared" si="15"/>
        <v>#N/A</v>
      </c>
      <c r="B119" s="2119" t="s">
        <v>6104</v>
      </c>
      <c r="C119" s="2637" t="s">
        <v>1708</v>
      </c>
      <c r="D119" s="2638" t="s">
        <v>2597</v>
      </c>
      <c r="E119" s="2640" t="s">
        <v>2598</v>
      </c>
      <c r="F119" s="2637" t="s">
        <v>2593</v>
      </c>
      <c r="G119" s="2098" t="s">
        <v>6105</v>
      </c>
      <c r="H119" s="2101" t="s">
        <v>6106</v>
      </c>
      <c r="I119" s="2608"/>
      <c r="J119" s="2608"/>
      <c r="K119" s="2609"/>
      <c r="L119" s="2101" t="s">
        <v>6107</v>
      </c>
      <c r="M119" s="2608"/>
      <c r="N119" s="2608"/>
      <c r="O119" s="2609"/>
      <c r="P119" s="2637" t="s">
        <v>2599</v>
      </c>
    </row>
    <row r="120" spans="1:18" s="2094" customFormat="1" outlineLevel="1">
      <c r="A120" s="2097" t="e">
        <f t="shared" si="15"/>
        <v>#N/A</v>
      </c>
      <c r="B120" s="2119"/>
      <c r="C120" s="2637"/>
      <c r="D120" s="2639"/>
      <c r="E120" s="2641"/>
      <c r="F120" s="2637"/>
      <c r="G120" s="2100" t="s">
        <v>2286</v>
      </c>
      <c r="H120" s="2101" t="s">
        <v>6108</v>
      </c>
      <c r="I120" s="2101" t="s">
        <v>6109</v>
      </c>
      <c r="J120" s="2101" t="s">
        <v>6110</v>
      </c>
      <c r="K120" s="2101" t="s">
        <v>6111</v>
      </c>
      <c r="L120" s="2101" t="s">
        <v>6108</v>
      </c>
      <c r="M120" s="2101" t="s">
        <v>6109</v>
      </c>
      <c r="N120" s="2101" t="s">
        <v>6110</v>
      </c>
      <c r="O120" s="2101" t="s">
        <v>6111</v>
      </c>
      <c r="P120" s="2637"/>
    </row>
    <row r="121" spans="1:18" s="2094" customFormat="1"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outlineLevel="1">
      <c r="A122" s="2097" t="str">
        <f t="shared" si="15"/>
        <v>Máy biến áp 12,7/0,22-0,44kV  25kVA</v>
      </c>
      <c r="B122" s="2107" t="str">
        <f>IF($F$8=22,"TR251","TR25")</f>
        <v>TR251</v>
      </c>
      <c r="C122" s="2108">
        <f>IF(G122&gt;0,1,0)</f>
        <v>0</v>
      </c>
      <c r="D122" s="2109" t="s">
        <v>5579</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outlineLevel="1">
      <c r="A123" s="2097" t="str">
        <f t="shared" si="15"/>
        <v>FCO 24kV - 100A</v>
      </c>
      <c r="B123" s="2107" t="str">
        <f>"FCO100-"&amp;$F$8</f>
        <v>FCO100-22</v>
      </c>
      <c r="C123" s="2108">
        <f t="shared" ref="C123:C130" si="20">IF(G123&gt;0,C122+1,C122)</f>
        <v>0</v>
      </c>
      <c r="D123" s="2109" t="s">
        <v>5594</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outlineLevel="1">
      <c r="A125" s="2097" t="str">
        <f t="shared" si="15"/>
        <v>Chống sét van LA-18KV-10KA</v>
      </c>
      <c r="B125" s="2119" t="str">
        <f>"LA"&amp;$F$6</f>
        <v>LA18</v>
      </c>
      <c r="C125" s="2108">
        <f>IF(G125&gt;0,C124+1,C124)</f>
        <v>0</v>
      </c>
      <c r="D125" s="2109" t="s">
        <v>5598</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outlineLevel="1">
      <c r="A126" s="2097" t="str">
        <f t="shared" si="15"/>
        <v>MCCB 3 cực 400V -125A - 30KA</v>
      </c>
      <c r="B126" s="2121" t="s">
        <v>1419</v>
      </c>
      <c r="C126" s="2108">
        <f t="shared" si="20"/>
        <v>0</v>
      </c>
      <c r="D126" s="2109">
        <v>0</v>
      </c>
      <c r="E126" s="2110" t="s">
        <v>5676</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outlineLevel="1">
      <c r="A131" s="2097" t="e">
        <f t="shared" si="15"/>
        <v>#N/A</v>
      </c>
      <c r="B131" s="2119"/>
      <c r="C131" s="2124"/>
      <c r="D131" s="2124"/>
      <c r="E131" s="2106"/>
      <c r="F131" s="2124"/>
      <c r="G131" s="2124"/>
      <c r="H131" s="2124"/>
      <c r="I131" s="2124"/>
      <c r="J131" s="2106" t="s">
        <v>6113</v>
      </c>
      <c r="K131" s="2124"/>
      <c r="L131" s="2106">
        <f>SUM(L122:L130)</f>
        <v>0</v>
      </c>
      <c r="M131" s="2106"/>
      <c r="N131" s="2106">
        <f>SUM(N122:N130)</f>
        <v>0</v>
      </c>
      <c r="O131" s="2106">
        <f>SUM(O122:O130)</f>
        <v>0</v>
      </c>
      <c r="P131" s="2159"/>
    </row>
    <row r="132" spans="1:18" s="2094" customFormat="1"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4.4" outlineLevel="1">
      <c r="A135" s="2097" t="e">
        <f t="shared" si="15"/>
        <v>#N/A</v>
      </c>
      <c r="B135" s="2119"/>
      <c r="C135" s="2131"/>
      <c r="D135" s="2135"/>
      <c r="E135" s="2137" t="s">
        <v>6125</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4.4" outlineLevel="1">
      <c r="A140" s="2097" t="e">
        <f t="shared" si="15"/>
        <v>#N/A</v>
      </c>
      <c r="B140" s="2119"/>
      <c r="C140" s="2131"/>
      <c r="D140" s="2135"/>
      <c r="E140" s="2137" t="s">
        <v>6125</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outlineLevel="1">
      <c r="A141" s="2097" t="str">
        <f t="shared" si="15"/>
        <v>Đà cản BTCT 1,2m</v>
      </c>
      <c r="B141" s="2122" t="s">
        <v>636</v>
      </c>
      <c r="C141" s="2116"/>
      <c r="D141" s="2109" t="s">
        <v>5043</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outlineLevel="1">
      <c r="A142" s="2097" t="str">
        <f t="shared" si="15"/>
        <v>Boulon 22x550/100+ 2 long đền vuông D24-50x50x3/Zn</v>
      </c>
      <c r="B142" s="2122" t="s">
        <v>719</v>
      </c>
      <c r="C142" s="2116"/>
      <c r="D142" s="2109">
        <v>0</v>
      </c>
      <c r="E142" s="2110" t="s">
        <v>5067</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outlineLevel="1">
      <c r="A143" s="2097" t="str">
        <f t="shared" si="15"/>
        <v>Đào hố móng đất cấp 3 sâu &gt;1m</v>
      </c>
      <c r="B143" s="2122" t="s">
        <v>639</v>
      </c>
      <c r="C143" s="2116"/>
      <c r="D143" s="2109" t="s">
        <v>1747</v>
      </c>
      <c r="E143" s="2110" t="s">
        <v>5320</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outlineLevel="1">
      <c r="A144" s="2097" t="str">
        <f t="shared" si="15"/>
        <v>Đắp đất hố móng, độ chặt k=0,95</v>
      </c>
      <c r="B144" s="2122" t="s">
        <v>21</v>
      </c>
      <c r="C144" s="2116"/>
      <c r="D144" s="2109" t="s">
        <v>5321</v>
      </c>
      <c r="E144" s="2110" t="s">
        <v>5322</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4.4" outlineLevel="1">
      <c r="A146" s="2097" t="e">
        <f t="shared" si="15"/>
        <v>#N/A</v>
      </c>
      <c r="B146" s="2119"/>
      <c r="C146" s="2131"/>
      <c r="D146" s="2135"/>
      <c r="E146" s="2161" t="s">
        <v>6125</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outlineLevel="1">
      <c r="A147" s="2097" t="str">
        <f t="shared" si="15"/>
        <v>Đà Composite 110x80x5x800</v>
      </c>
      <c r="B147" s="2162" t="s">
        <v>5153</v>
      </c>
      <c r="C147" s="2116"/>
      <c r="D147" s="2109">
        <v>0</v>
      </c>
      <c r="E147" s="2110" t="s">
        <v>4862</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outlineLevel="1">
      <c r="A148" s="2097" t="str">
        <f t="shared" si="15"/>
        <v>Chống Composite 40x10x710</v>
      </c>
      <c r="B148" s="2122" t="s">
        <v>5157</v>
      </c>
      <c r="C148" s="2116"/>
      <c r="D148" s="2109">
        <v>0</v>
      </c>
      <c r="E148" s="2110" t="s">
        <v>5158</v>
      </c>
      <c r="F148" s="2109" t="s">
        <v>5156</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outlineLevel="1">
      <c r="A149" s="2097" t="str">
        <f t="shared" si="15"/>
        <v>Bass LL bắt FCO, LA</v>
      </c>
      <c r="B149" s="2122" t="s">
        <v>1840</v>
      </c>
      <c r="C149" s="2116"/>
      <c r="D149" s="2109">
        <v>0</v>
      </c>
      <c r="E149" s="2110" t="s">
        <v>5074</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outlineLevel="1">
      <c r="A150" s="2097" t="str">
        <f t="shared" ref="A150:A181" si="25">VLOOKUP(B150,DonGia,3,0)</f>
        <v>Nắp che đầu cực FCO</v>
      </c>
      <c r="B150" s="2122" t="s">
        <v>6117</v>
      </c>
      <c r="C150" s="2116"/>
      <c r="D150" s="2109">
        <v>0</v>
      </c>
      <c r="E150" s="2110" t="s">
        <v>5696</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outlineLevel="1">
      <c r="A151" s="2097" t="str">
        <f t="shared" si="25"/>
        <v>Nắp che đầu cực LA</v>
      </c>
      <c r="B151" s="2122" t="s">
        <v>6118</v>
      </c>
      <c r="C151" s="2116"/>
      <c r="D151" s="2109">
        <v>0</v>
      </c>
      <c r="E151" s="2110" t="s">
        <v>5702</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outlineLevel="1">
      <c r="A154" s="2097" t="str">
        <f t="shared" si="25"/>
        <v>Lắp xà đỡ ≤ 25kg</v>
      </c>
      <c r="B154" s="2122" t="s">
        <v>1995</v>
      </c>
      <c r="C154" s="2116"/>
      <c r="D154" s="2109" t="s">
        <v>5374</v>
      </c>
      <c r="E154" s="2110" t="s">
        <v>5375</v>
      </c>
      <c r="F154" s="2109" t="s">
        <v>2439</v>
      </c>
      <c r="G154" s="2116">
        <f>G145</f>
        <v>0</v>
      </c>
      <c r="H154" s="2112">
        <v>0</v>
      </c>
      <c r="I154" s="2117"/>
      <c r="J154" s="2142" t="s">
        <v>6298</v>
      </c>
      <c r="K154" s="2112">
        <v>0</v>
      </c>
      <c r="L154" s="2118">
        <f t="shared" si="21"/>
        <v>0</v>
      </c>
      <c r="M154" s="2118">
        <f>I154*G154</f>
        <v>0</v>
      </c>
      <c r="N154" s="2143">
        <f>106640*G154*1.5</f>
        <v>0</v>
      </c>
      <c r="O154" s="2117">
        <f t="shared" si="24"/>
        <v>0</v>
      </c>
      <c r="P154" s="2144"/>
    </row>
    <row r="155" spans="1:16" s="2094" customFormat="1"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4.4" outlineLevel="1">
      <c r="A156" s="2097" t="e">
        <f t="shared" si="25"/>
        <v>#N/A</v>
      </c>
      <c r="B156" s="2119"/>
      <c r="C156" s="2116"/>
      <c r="D156" s="2139"/>
      <c r="E156" s="2161" t="s">
        <v>6125</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outlineLevel="1">
      <c r="A158" s="2097" t="str">
        <f t="shared" si="25"/>
        <v>Cọc tiếp đất Þ 16- 2,4m + kẹp cọc mạ đồng</v>
      </c>
      <c r="B158" s="2122" t="s">
        <v>1508</v>
      </c>
      <c r="C158" s="2116"/>
      <c r="D158" s="2109">
        <v>0</v>
      </c>
      <c r="E158" s="2110" t="s">
        <v>5159</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outlineLevel="1">
      <c r="A161" s="2097" t="str">
        <f t="shared" si="25"/>
        <v>Đầu cosse ép Cu 25mm2</v>
      </c>
      <c r="B161" s="2119" t="s">
        <v>1073</v>
      </c>
      <c r="C161" s="2116"/>
      <c r="D161" s="2109" t="s">
        <v>5720</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outlineLevel="1">
      <c r="A164" s="2097" t="str">
        <f t="shared" si="25"/>
        <v>Cổ dê kẹp ống PVC  21</v>
      </c>
      <c r="B164" s="2122" t="s">
        <v>525</v>
      </c>
      <c r="C164" s="2116"/>
      <c r="D164" s="2109"/>
      <c r="E164" s="2110" t="s">
        <v>5248</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outlineLevel="1">
      <c r="A165" s="2097" t="str">
        <f t="shared" si="25"/>
        <v>Lắp cổ dê</v>
      </c>
      <c r="B165" s="2122" t="s">
        <v>1130</v>
      </c>
      <c r="C165" s="2116"/>
      <c r="D165" s="2109" t="s">
        <v>5268</v>
      </c>
      <c r="E165" s="2110" t="s">
        <v>5466</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outlineLevel="1">
      <c r="A166" s="2097" t="str">
        <f t="shared" si="25"/>
        <v>Đóng cọc tiếp địa trong TBA</v>
      </c>
      <c r="B166" s="2122" t="s">
        <v>902</v>
      </c>
      <c r="C166" s="2116"/>
      <c r="D166" s="2109" t="s">
        <v>5347</v>
      </c>
      <c r="E166" s="2110" t="s">
        <v>5348</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outlineLevel="1">
      <c r="A167" s="2097" t="str">
        <f t="shared" si="25"/>
        <v>Kéo dây tiếp địa trong TBA</v>
      </c>
      <c r="B167" s="2122" t="s">
        <v>2183</v>
      </c>
      <c r="C167" s="2116"/>
      <c r="D167" s="2109" t="s">
        <v>5342</v>
      </c>
      <c r="E167" s="2110" t="s">
        <v>5343</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outlineLevel="1">
      <c r="A168" s="2097" t="str">
        <f t="shared" si="25"/>
        <v>Đào rãnh tiếp địa đất cấp 3</v>
      </c>
      <c r="B168" s="2119" t="s">
        <v>1055</v>
      </c>
      <c r="C168" s="2116"/>
      <c r="D168" s="2109" t="s">
        <v>5332</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outlineLevel="1">
      <c r="A169" s="2097" t="str">
        <f t="shared" si="25"/>
        <v>Đắp đất rãnh tiếp độ chặt k=0,85</v>
      </c>
      <c r="B169" s="2122" t="s">
        <v>1056</v>
      </c>
      <c r="C169" s="2116"/>
      <c r="D169" s="2109" t="s">
        <v>5321</v>
      </c>
      <c r="E169" s="2110" t="s">
        <v>5333</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4.4" outlineLevel="1">
      <c r="A171" s="2097" t="e">
        <f t="shared" si="25"/>
        <v>#N/A</v>
      </c>
      <c r="B171" s="2119"/>
      <c r="C171" s="2131"/>
      <c r="D171" s="2135"/>
      <c r="E171" s="2161" t="s">
        <v>6125</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outlineLevel="1">
      <c r="A172" s="2097" t="str">
        <f t="shared" si="25"/>
        <v>Tủ MCCB trạm treo 1 pha</v>
      </c>
      <c r="B172" s="2119" t="s">
        <v>5650</v>
      </c>
      <c r="C172" s="2116"/>
      <c r="D172" s="2109" t="s">
        <v>5651</v>
      </c>
      <c r="E172" s="2110" t="s">
        <v>5652</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outlineLevel="1">
      <c r="A174" s="2097" t="str">
        <f t="shared" si="25"/>
        <v xml:space="preserve">Bakelit 550x450 dầy 10mm </v>
      </c>
      <c r="B174" s="2119" t="s">
        <v>880</v>
      </c>
      <c r="C174" s="2116"/>
      <c r="D174" s="2109">
        <v>0</v>
      </c>
      <c r="E174" s="2110" t="s">
        <v>5795</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outlineLevel="1">
      <c r="A176" s="2097" t="e">
        <f t="shared" si="25"/>
        <v>#N/A</v>
      </c>
      <c r="B176" s="2119"/>
      <c r="C176" s="2131">
        <f>IF(G176&gt;0,C170+1,C170)</f>
        <v>0</v>
      </c>
      <c r="D176" s="2135"/>
      <c r="E176" s="2160" t="s">
        <v>6126</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4.4" outlineLevel="1">
      <c r="A177" s="2097" t="e">
        <f t="shared" si="25"/>
        <v>#N/A</v>
      </c>
      <c r="B177" s="2119"/>
      <c r="C177" s="2131"/>
      <c r="D177" s="2135"/>
      <c r="E177" s="2161" t="s">
        <v>6125</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outlineLevel="1">
      <c r="A178" s="2097" t="str">
        <f t="shared" si="25"/>
        <v>Cáp 24KV C/XLPE/PVC 25mm2</v>
      </c>
      <c r="B178" s="2148" t="s">
        <v>697</v>
      </c>
      <c r="C178" s="2116"/>
      <c r="D178" s="2109">
        <v>0</v>
      </c>
      <c r="E178" s="2110" t="s">
        <v>5083</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outlineLevel="1">
      <c r="A181" s="2097" t="str">
        <f t="shared" si="25"/>
        <v>Kẹp hotline 2/0</v>
      </c>
      <c r="B181" s="2107" t="s">
        <v>1477</v>
      </c>
      <c r="C181" s="2116"/>
      <c r="D181" s="2109">
        <v>0</v>
      </c>
      <c r="E181" s="2110" t="s">
        <v>4333</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outlineLevel="1">
      <c r="A184" s="2097" t="str">
        <f t="shared" si="26"/>
        <v>Lắp sứ đứng 24KV</v>
      </c>
      <c r="B184" s="2107" t="s">
        <v>347</v>
      </c>
      <c r="C184" s="2116"/>
      <c r="D184" s="2109" t="s">
        <v>5556</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outlineLevel="1">
      <c r="A185" s="2097" t="str">
        <f t="shared" si="26"/>
        <v>Lắp cáp đồng xuống thiết bị D ≤ 95mm2</v>
      </c>
      <c r="B185" s="2107" t="s">
        <v>1525</v>
      </c>
      <c r="C185" s="2116"/>
      <c r="D185" s="2109" t="s">
        <v>5567</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outlineLevel="1">
      <c r="A186" s="2097" t="e">
        <f t="shared" si="26"/>
        <v>#N/A</v>
      </c>
      <c r="B186" s="2119"/>
      <c r="C186" s="2131">
        <f>IF(G186&gt;0,C176+1,C176)</f>
        <v>0</v>
      </c>
      <c r="D186" s="2135"/>
      <c r="E186" s="2163" t="s">
        <v>6127</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4.4" outlineLevel="1">
      <c r="A187" s="2097" t="e">
        <f t="shared" si="26"/>
        <v>#N/A</v>
      </c>
      <c r="B187" s="2119"/>
      <c r="C187" s="2131"/>
      <c r="D187" s="2135"/>
      <c r="E187" s="2161" t="s">
        <v>6125</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outlineLevel="1">
      <c r="A190" s="2097" t="str">
        <f t="shared" si="26"/>
        <v>Đầu cosse ép Cu 50mm2</v>
      </c>
      <c r="B190" s="2119" t="str">
        <f>"Cos"&amp;RIGHT(B188,2)</f>
        <v>Cos50</v>
      </c>
      <c r="C190" s="2116"/>
      <c r="D190" s="2109" t="s">
        <v>5721</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outlineLevel="1">
      <c r="A192" s="2097" t="str">
        <f t="shared" si="26"/>
        <v>Nắp che đầu sứ MBA</v>
      </c>
      <c r="B192" s="2122" t="s">
        <v>5703</v>
      </c>
      <c r="C192" s="2116"/>
      <c r="D192" s="2109">
        <v>0</v>
      </c>
      <c r="E192" s="2110" t="s">
        <v>5704</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outlineLevel="1">
      <c r="A194" s="2097" t="str">
        <f t="shared" si="26"/>
        <v>Cổ dê kẹp ống PVC Ø 90</v>
      </c>
      <c r="B194" s="2122" t="s">
        <v>276</v>
      </c>
      <c r="C194" s="2116"/>
      <c r="D194" s="2109">
        <v>0</v>
      </c>
      <c r="E194" s="2110" t="s">
        <v>5253</v>
      </c>
      <c r="F194" s="2109" t="s">
        <v>2439</v>
      </c>
      <c r="G194" s="2116">
        <f>G186*2</f>
        <v>0</v>
      </c>
      <c r="H194" s="2112">
        <v>49000</v>
      </c>
      <c r="I194" s="2117"/>
      <c r="J194" s="2112"/>
      <c r="K194" s="2112">
        <v>0</v>
      </c>
      <c r="L194" s="2118">
        <f>H194*G194</f>
        <v>0</v>
      </c>
      <c r="M194" s="2118"/>
      <c r="N194" s="2112"/>
      <c r="O194" s="2117">
        <f>K194*G194</f>
        <v>0</v>
      </c>
      <c r="P194" s="2144"/>
    </row>
    <row r="195" spans="1:16" s="2094" customFormat="1"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outlineLevel="1">
      <c r="A196" s="2097" t="str">
        <f t="shared" si="26"/>
        <v>Boulon 12x200+ 2 long đền vuông D14-50x50x3/Zn</v>
      </c>
      <c r="B196" s="2122" t="s">
        <v>6128</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outlineLevel="1">
      <c r="A197" s="2097" t="str">
        <f t="shared" si="26"/>
        <v>Co  90 độ PVC 90</v>
      </c>
      <c r="B197" s="2119" t="s">
        <v>69</v>
      </c>
      <c r="C197" s="2116"/>
      <c r="D197" s="2109">
        <v>0</v>
      </c>
      <c r="E197" s="2110" t="s">
        <v>5793</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outlineLevel="1">
      <c r="A200" s="2097" t="str">
        <f t="shared" si="26"/>
        <v>Keo silicon bít miệng ống</v>
      </c>
      <c r="B200" s="2119" t="s">
        <v>489</v>
      </c>
      <c r="C200" s="2116"/>
      <c r="D200" s="2109">
        <v>0</v>
      </c>
      <c r="E200" s="2110" t="s">
        <v>3566</v>
      </c>
      <c r="F200" s="2109" t="s">
        <v>5802</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outlineLevel="1">
      <c r="A201" s="2097" t="str">
        <f t="shared" si="26"/>
        <v>Băng keo cách điện</v>
      </c>
      <c r="B201" s="2122" t="s">
        <v>672</v>
      </c>
      <c r="C201" s="2116"/>
      <c r="D201" s="2109">
        <v>0</v>
      </c>
      <c r="E201" s="2110" t="s">
        <v>5797</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outlineLevel="1">
      <c r="A202" s="2097" t="str">
        <f t="shared" si="26"/>
        <v>Lắp ống nhựa PVC D90</v>
      </c>
      <c r="B202" s="2119" t="s">
        <v>2182</v>
      </c>
      <c r="C202" s="2116"/>
      <c r="D202" s="2109" t="s">
        <v>5543</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outlineLevel="1">
      <c r="A203" s="2097" t="str">
        <f t="shared" si="26"/>
        <v>Lắp cáp đồng xuống thiết bị D ≤ 95mm2</v>
      </c>
      <c r="B203" s="2122" t="s">
        <v>1525</v>
      </c>
      <c r="C203" s="2116"/>
      <c r="D203" s="2109" t="s">
        <v>5567</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outlineLevel="1">
      <c r="A204" s="2097" t="str">
        <f t="shared" si="26"/>
        <v>Bảng tên trạm, bảng báo nguy hiểm + đinh vít</v>
      </c>
      <c r="B204" s="2119" t="s">
        <v>289</v>
      </c>
      <c r="C204" s="2164">
        <f>IF(G204&gt;0,C186+1,C186)</f>
        <v>0</v>
      </c>
      <c r="D204" s="2165"/>
      <c r="E204" s="2110" t="s">
        <v>5708</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outlineLevel="1">
      <c r="A205" s="2097" t="e">
        <f t="shared" si="26"/>
        <v>#N/A</v>
      </c>
      <c r="B205" s="2120"/>
      <c r="C205" s="2159"/>
      <c r="D205" s="2154"/>
      <c r="E205" s="2128"/>
      <c r="F205" s="2611"/>
      <c r="G205" s="2611"/>
      <c r="H205" s="2611"/>
      <c r="I205" s="2611"/>
      <c r="J205" s="2647" t="s">
        <v>6123</v>
      </c>
      <c r="K205" s="2647"/>
      <c r="L205" s="2156">
        <f>SUM(L133:L204)</f>
        <v>0</v>
      </c>
      <c r="M205" s="2156">
        <f>SUM(M133:M204)</f>
        <v>0</v>
      </c>
      <c r="N205" s="2156">
        <f>SUM(N133:N204)</f>
        <v>0</v>
      </c>
      <c r="O205" s="2156">
        <f>SUM(O133:O204)</f>
        <v>0</v>
      </c>
      <c r="P205" s="2159"/>
    </row>
    <row r="206" spans="1:16" s="2094" customFormat="1" ht="13.95" customHeight="1">
      <c r="A206" s="2138" t="str">
        <f>IF(G211&lt;&gt;0,1,"")</f>
        <v/>
      </c>
      <c r="B206" s="2120"/>
      <c r="C206" s="2612"/>
      <c r="D206" s="2138"/>
    </row>
    <row r="207" spans="1:16" s="2094" customFormat="1" outlineLevel="1">
      <c r="A207" s="2097" t="e">
        <f t="shared" ref="A207:A238" si="27">VLOOKUP(B207,DonGia,3,0)</f>
        <v>#N/A</v>
      </c>
      <c r="B207" s="2120"/>
      <c r="C207" s="2648" t="s">
        <v>6129</v>
      </c>
      <c r="D207" s="2613"/>
      <c r="E207" s="2648"/>
      <c r="F207" s="2648"/>
      <c r="G207" s="2648"/>
      <c r="H207" s="2648"/>
      <c r="I207" s="2648"/>
      <c r="J207" s="2648"/>
      <c r="K207" s="2648"/>
      <c r="L207" s="2648"/>
      <c r="M207" s="2648"/>
      <c r="N207" s="2648"/>
      <c r="O207" s="2648"/>
      <c r="P207" s="2648"/>
    </row>
    <row r="208" spans="1:16" s="2094" customFormat="1" outlineLevel="1">
      <c r="A208" s="2097" t="e">
        <f t="shared" si="27"/>
        <v>#N/A</v>
      </c>
      <c r="B208" s="2119" t="s">
        <v>6104</v>
      </c>
      <c r="C208" s="2637" t="s">
        <v>1708</v>
      </c>
      <c r="D208" s="2638" t="s">
        <v>2597</v>
      </c>
      <c r="E208" s="2640" t="s">
        <v>2598</v>
      </c>
      <c r="F208" s="2637" t="s">
        <v>2593</v>
      </c>
      <c r="G208" s="2098" t="s">
        <v>6105</v>
      </c>
      <c r="H208" s="2101" t="s">
        <v>6106</v>
      </c>
      <c r="I208" s="2608"/>
      <c r="J208" s="2608"/>
      <c r="K208" s="2609"/>
      <c r="L208" s="2101" t="s">
        <v>6107</v>
      </c>
      <c r="M208" s="2608"/>
      <c r="N208" s="2608"/>
      <c r="O208" s="2609"/>
      <c r="P208" s="2637" t="s">
        <v>2599</v>
      </c>
    </row>
    <row r="209" spans="1:18" s="2094" customFormat="1" outlineLevel="1">
      <c r="A209" s="2097" t="e">
        <f t="shared" si="27"/>
        <v>#N/A</v>
      </c>
      <c r="B209" s="2119"/>
      <c r="C209" s="2637"/>
      <c r="D209" s="2639"/>
      <c r="E209" s="2641"/>
      <c r="F209" s="2637"/>
      <c r="G209" s="2100" t="s">
        <v>2286</v>
      </c>
      <c r="H209" s="2101" t="s">
        <v>6108</v>
      </c>
      <c r="I209" s="2101" t="s">
        <v>6109</v>
      </c>
      <c r="J209" s="2101" t="s">
        <v>6110</v>
      </c>
      <c r="K209" s="2101" t="s">
        <v>6111</v>
      </c>
      <c r="L209" s="2101" t="s">
        <v>6108</v>
      </c>
      <c r="M209" s="2101" t="s">
        <v>6109</v>
      </c>
      <c r="N209" s="2101" t="s">
        <v>6110</v>
      </c>
      <c r="O209" s="2101" t="s">
        <v>6111</v>
      </c>
      <c r="P209" s="2637"/>
    </row>
    <row r="210" spans="1:18" s="2094" customFormat="1"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outlineLevel="1">
      <c r="A211" s="2097" t="str">
        <f t="shared" si="27"/>
        <v>Máy biến áp 12,7/0,22-0,44kV  37,5kVA</v>
      </c>
      <c r="B211" s="2107" t="str">
        <f>IF($F$8=22,"TR371","TR37")</f>
        <v>TR371</v>
      </c>
      <c r="C211" s="2108">
        <f>IF(G211&gt;0,1,0)</f>
        <v>0</v>
      </c>
      <c r="D211" s="2109" t="s">
        <v>5580</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outlineLevel="1">
      <c r="A212" s="2097" t="str">
        <f t="shared" si="27"/>
        <v>FCO 24kV - 100A</v>
      </c>
      <c r="B212" s="2107" t="str">
        <f>"FCO100-"&amp;$F$8</f>
        <v>FCO100-22</v>
      </c>
      <c r="C212" s="2108">
        <f t="shared" ref="C212:C217" si="32">IF(G212&gt;0,C211+1,C211)</f>
        <v>0</v>
      </c>
      <c r="D212" s="2109" t="s">
        <v>5594</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outlineLevel="1">
      <c r="A214" s="2097" t="str">
        <f t="shared" si="27"/>
        <v>Chống sét van LA-18KV-10KA</v>
      </c>
      <c r="B214" s="2120" t="str">
        <f>"LA"&amp;$F$6</f>
        <v>LA18</v>
      </c>
      <c r="C214" s="2108">
        <f t="shared" si="32"/>
        <v>0</v>
      </c>
      <c r="D214" s="2109" t="s">
        <v>5598</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outlineLevel="1">
      <c r="A218" s="2097" t="e">
        <f t="shared" si="27"/>
        <v>#N/A</v>
      </c>
      <c r="B218" s="2119"/>
      <c r="C218" s="2124"/>
      <c r="D218" s="2125"/>
      <c r="E218" s="2106"/>
      <c r="F218" s="2124"/>
      <c r="G218" s="2124"/>
      <c r="H218" s="2124"/>
      <c r="I218" s="2124"/>
      <c r="J218" s="2106" t="s">
        <v>6113</v>
      </c>
      <c r="K218" s="2124"/>
      <c r="L218" s="2106">
        <f>SUM(L211:L217)</f>
        <v>0</v>
      </c>
      <c r="M218" s="2106"/>
      <c r="N218" s="2106">
        <f>SUM(N211:N217)</f>
        <v>0</v>
      </c>
      <c r="O218" s="2106">
        <f>SUM(O211:O217)</f>
        <v>0</v>
      </c>
      <c r="P218" s="2159"/>
    </row>
    <row r="219" spans="1:18" s="2094" customFormat="1"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outlineLevel="1">
      <c r="A221" s="2097" t="e">
        <f t="shared" si="27"/>
        <v>#N/A</v>
      </c>
      <c r="B221" s="2119"/>
      <c r="C221" s="2134">
        <f>IF(G221&gt;0,C220+1,C220)</f>
        <v>0</v>
      </c>
      <c r="D221" s="2135"/>
      <c r="E221" s="2136" t="s">
        <v>6130</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4.4" outlineLevel="1">
      <c r="A222" s="2097" t="e">
        <f t="shared" si="27"/>
        <v>#N/A</v>
      </c>
      <c r="B222" s="2119"/>
      <c r="C222" s="2131"/>
      <c r="D222" s="2135"/>
      <c r="E222" s="2137" t="s">
        <v>6125</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4.4" outlineLevel="1">
      <c r="A227" s="2097" t="e">
        <f t="shared" si="27"/>
        <v>#N/A</v>
      </c>
      <c r="B227" s="2119"/>
      <c r="C227" s="2131"/>
      <c r="D227" s="2135"/>
      <c r="E227" s="2137" t="s">
        <v>6125</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outlineLevel="1">
      <c r="A228" s="2097" t="str">
        <f t="shared" si="27"/>
        <v>Đà cản BTCT 1,2m</v>
      </c>
      <c r="B228" s="2122" t="s">
        <v>636</v>
      </c>
      <c r="C228" s="2116"/>
      <c r="D228" s="2109" t="s">
        <v>5043</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outlineLevel="1">
      <c r="A229" s="2097" t="str">
        <f t="shared" si="27"/>
        <v>Boulon 22x650+ 2 long đền vuông D24-50x50x3/Zn</v>
      </c>
      <c r="B229" s="2122" t="s">
        <v>566</v>
      </c>
      <c r="C229" s="2116"/>
      <c r="D229" s="2109">
        <v>0</v>
      </c>
      <c r="E229" s="2110" t="s">
        <v>5068</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outlineLevel="1">
      <c r="A230" s="2097" t="str">
        <f t="shared" si="27"/>
        <v>Đào hố móng đất cấp 3 sâu &gt;1m</v>
      </c>
      <c r="B230" s="2122" t="s">
        <v>639</v>
      </c>
      <c r="C230" s="2116"/>
      <c r="D230" s="2109" t="s">
        <v>1747</v>
      </c>
      <c r="E230" s="2110" t="s">
        <v>5320</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outlineLevel="1">
      <c r="A231" s="2097" t="str">
        <f t="shared" si="27"/>
        <v>Đắp đất hố móng, độ chặt k=0,95</v>
      </c>
      <c r="B231" s="2122" t="s">
        <v>21</v>
      </c>
      <c r="C231" s="2116"/>
      <c r="D231" s="2109" t="s">
        <v>5321</v>
      </c>
      <c r="E231" s="2110" t="s">
        <v>5322</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4.4" outlineLevel="1">
      <c r="A233" s="2097" t="e">
        <f t="shared" si="27"/>
        <v>#N/A</v>
      </c>
      <c r="B233" s="2119"/>
      <c r="C233" s="2131"/>
      <c r="D233" s="2135"/>
      <c r="E233" s="2161" t="s">
        <v>6125</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outlineLevel="1">
      <c r="A234" s="2097" t="str">
        <f t="shared" si="27"/>
        <v>Đà Composite 110x80x5x800</v>
      </c>
      <c r="B234" s="2122" t="s">
        <v>5153</v>
      </c>
      <c r="C234" s="2116"/>
      <c r="D234" s="2109">
        <v>0</v>
      </c>
      <c r="E234" s="2110" t="s">
        <v>4862</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outlineLevel="1">
      <c r="A235" s="2097" t="str">
        <f t="shared" si="27"/>
        <v>Chống Composite 40x10x710</v>
      </c>
      <c r="B235" s="2122" t="s">
        <v>5157</v>
      </c>
      <c r="C235" s="2116"/>
      <c r="D235" s="2109">
        <v>0</v>
      </c>
      <c r="E235" s="2110" t="s">
        <v>5158</v>
      </c>
      <c r="F235" s="2109" t="s">
        <v>5156</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outlineLevel="1">
      <c r="A236" s="2097" t="str">
        <f t="shared" si="27"/>
        <v>Bass LL bắt FCO, LA</v>
      </c>
      <c r="B236" s="2122" t="s">
        <v>1840</v>
      </c>
      <c r="C236" s="2116"/>
      <c r="D236" s="2109">
        <v>0</v>
      </c>
      <c r="E236" s="2110" t="s">
        <v>5074</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outlineLevel="1">
      <c r="A237" s="2097" t="str">
        <f t="shared" si="27"/>
        <v>Nắp che đầu cực FCO</v>
      </c>
      <c r="B237" s="2122" t="s">
        <v>6117</v>
      </c>
      <c r="C237" s="2116"/>
      <c r="D237" s="2109">
        <v>0</v>
      </c>
      <c r="E237" s="2110" t="s">
        <v>5696</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outlineLevel="1">
      <c r="A241" s="2097" t="str">
        <f t="shared" si="37"/>
        <v>Lắp xà đỡ composite dài 800mm (3kg)</v>
      </c>
      <c r="B241" s="2169" t="s">
        <v>5366</v>
      </c>
      <c r="C241" s="2116"/>
      <c r="D241" s="2109" t="s">
        <v>5144</v>
      </c>
      <c r="E241" s="2110" t="s">
        <v>5367</v>
      </c>
      <c r="F241" s="2109" t="s">
        <v>2439</v>
      </c>
      <c r="G241" s="2116">
        <f>G232</f>
        <v>0</v>
      </c>
      <c r="H241" s="2112">
        <v>0</v>
      </c>
      <c r="I241" s="2117"/>
      <c r="J241" s="2142" t="s">
        <v>6305</v>
      </c>
      <c r="K241" s="2112">
        <v>0</v>
      </c>
      <c r="L241" s="2118">
        <f t="shared" si="33"/>
        <v>0</v>
      </c>
      <c r="M241" s="2118">
        <f>I241*G241</f>
        <v>0</v>
      </c>
      <c r="N241" s="2143">
        <f>106640*G241*1.5</f>
        <v>0</v>
      </c>
      <c r="O241" s="2117">
        <f t="shared" si="36"/>
        <v>0</v>
      </c>
      <c r="P241" s="2144"/>
    </row>
    <row r="242" spans="1:16" s="2094" customFormat="1"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4.4" outlineLevel="1">
      <c r="A243" s="2097" t="e">
        <f t="shared" si="37"/>
        <v>#N/A</v>
      </c>
      <c r="B243" s="2119"/>
      <c r="C243" s="2116"/>
      <c r="D243" s="2139"/>
      <c r="E243" s="2161" t="s">
        <v>6125</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outlineLevel="1">
      <c r="A244" s="2097" t="str">
        <f t="shared" si="37"/>
        <v>Cáp đồng trần M25mm2</v>
      </c>
      <c r="B244" s="2119" t="s">
        <v>1033</v>
      </c>
      <c r="C244" s="2116"/>
      <c r="D244" s="2109">
        <v>0</v>
      </c>
      <c r="E244" s="2110" t="s">
        <v>6306</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outlineLevel="1">
      <c r="A245" s="2097" t="str">
        <f t="shared" si="37"/>
        <v>Cọc tiếp đất Þ 16- 2,4m + kẹp cọc mạ đồng</v>
      </c>
      <c r="B245" s="2122" t="s">
        <v>1508</v>
      </c>
      <c r="C245" s="2116"/>
      <c r="D245" s="2109">
        <v>0</v>
      </c>
      <c r="E245" s="2110" t="s">
        <v>5159</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outlineLevel="1">
      <c r="A249" s="2097" t="str">
        <f t="shared" si="37"/>
        <v>Cổ dê kẹp ống PVC  21</v>
      </c>
      <c r="B249" s="2122" t="s">
        <v>525</v>
      </c>
      <c r="C249" s="2116"/>
      <c r="D249" s="2109">
        <v>0</v>
      </c>
      <c r="E249" s="2110" t="s">
        <v>5248</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outlineLevel="1">
      <c r="A250" s="2097" t="str">
        <f t="shared" si="37"/>
        <v>Kéo dây tiếp địa trong TBA</v>
      </c>
      <c r="B250" s="2119" t="s">
        <v>2183</v>
      </c>
      <c r="C250" s="2116"/>
      <c r="D250" s="2109" t="s">
        <v>5342</v>
      </c>
      <c r="E250" s="2110" t="s">
        <v>5343</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outlineLevel="1">
      <c r="A251" s="2097" t="str">
        <f t="shared" si="37"/>
        <v>Đóng cọc tiếp địa trong TBA</v>
      </c>
      <c r="B251" s="2122" t="s">
        <v>902</v>
      </c>
      <c r="C251" s="2116"/>
      <c r="D251" s="2109" t="s">
        <v>5347</v>
      </c>
      <c r="E251" s="2110" t="s">
        <v>5348</v>
      </c>
      <c r="F251" s="2109" t="s">
        <v>2278</v>
      </c>
      <c r="G251" s="2116">
        <f>G245</f>
        <v>0</v>
      </c>
      <c r="H251" s="2112">
        <v>0</v>
      </c>
      <c r="I251" s="2117"/>
      <c r="J251" s="2112" t="s">
        <v>6307</v>
      </c>
      <c r="K251" s="2112">
        <v>1573.075</v>
      </c>
      <c r="L251" s="2118">
        <f>H251*G251</f>
        <v>0</v>
      </c>
      <c r="M251" s="2118">
        <f>I251*G251</f>
        <v>0</v>
      </c>
      <c r="N251" s="2112">
        <v>0</v>
      </c>
      <c r="O251" s="2117">
        <f>K251*G251</f>
        <v>0</v>
      </c>
      <c r="P251" s="2144"/>
    </row>
    <row r="252" spans="1:16" s="2094" customFormat="1" outlineLevel="1">
      <c r="A252" s="2097" t="str">
        <f t="shared" si="37"/>
        <v>Đào rãnh tiếp địa đất cấp 3</v>
      </c>
      <c r="B252" s="2119" t="s">
        <v>1055</v>
      </c>
      <c r="C252" s="2116"/>
      <c r="D252" s="2109" t="s">
        <v>5332</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outlineLevel="1">
      <c r="A253" s="2097" t="str">
        <f t="shared" si="37"/>
        <v>Đắp đất rãnh tiếp độ chặt k=0,85</v>
      </c>
      <c r="B253" s="2122" t="s">
        <v>1056</v>
      </c>
      <c r="C253" s="2116"/>
      <c r="D253" s="2109" t="s">
        <v>5321</v>
      </c>
      <c r="E253" s="2110" t="s">
        <v>5333</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4.4" outlineLevel="1">
      <c r="A255" s="2097" t="e">
        <f t="shared" si="37"/>
        <v>#N/A</v>
      </c>
      <c r="B255" s="2119"/>
      <c r="C255" s="2131"/>
      <c r="D255" s="2109"/>
      <c r="E255" s="2161" t="s">
        <v>6125</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outlineLevel="1">
      <c r="A256" s="2097" t="str">
        <f t="shared" si="37"/>
        <v>Tủ MCCB trạm treo 1 pha</v>
      </c>
      <c r="B256" s="2170" t="s">
        <v>5650</v>
      </c>
      <c r="C256" s="2116"/>
      <c r="D256" s="2109" t="s">
        <v>5651</v>
      </c>
      <c r="E256" s="2110" t="s">
        <v>5652</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outlineLevel="1">
      <c r="A258" s="2097" t="str">
        <f t="shared" si="37"/>
        <v xml:space="preserve">Bakelit 550x450 dầy 10mm </v>
      </c>
      <c r="B258" s="2119" t="s">
        <v>880</v>
      </c>
      <c r="C258" s="2116"/>
      <c r="D258" s="2109">
        <v>0</v>
      </c>
      <c r="E258" s="2110" t="s">
        <v>5795</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outlineLevel="1">
      <c r="A259" s="2097" t="e">
        <f t="shared" si="37"/>
        <v>#N/A</v>
      </c>
      <c r="B259" s="2119"/>
      <c r="C259" s="2131">
        <f>IF(G259&gt;0,C254+1,C254)</f>
        <v>0</v>
      </c>
      <c r="D259" s="2109"/>
      <c r="E259" s="2160" t="s">
        <v>6131</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4.4" outlineLevel="1">
      <c r="A260" s="2097" t="e">
        <f t="shared" si="37"/>
        <v>#N/A</v>
      </c>
      <c r="B260" s="2119"/>
      <c r="C260" s="2131"/>
      <c r="D260" s="2109"/>
      <c r="E260" s="2161" t="s">
        <v>6125</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outlineLevel="1">
      <c r="A261" s="2097" t="str">
        <f t="shared" si="37"/>
        <v>Cáp 24KV C/XLPE/PVC 25mm2</v>
      </c>
      <c r="B261" s="2148" t="s">
        <v>697</v>
      </c>
      <c r="C261" s="2116"/>
      <c r="D261" s="2109">
        <v>0</v>
      </c>
      <c r="E261" s="2110" t="s">
        <v>5083</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outlineLevel="1">
      <c r="A262" s="2097" t="str">
        <f t="shared" si="37"/>
        <v>Nắp che đầu cực FCO</v>
      </c>
      <c r="B262" s="2122" t="s">
        <v>6117</v>
      </c>
      <c r="C262" s="2116"/>
      <c r="D262" s="2109">
        <v>0</v>
      </c>
      <c r="E262" s="2110" t="s">
        <v>5696</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outlineLevel="1">
      <c r="A263" s="2097" t="str">
        <f t="shared" si="37"/>
        <v>Nắp che đầu cực LA</v>
      </c>
      <c r="B263" s="2122" t="s">
        <v>6118</v>
      </c>
      <c r="C263" s="2116"/>
      <c r="D263" s="2109">
        <v>0</v>
      </c>
      <c r="E263" s="2110" t="s">
        <v>5702</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outlineLevel="1">
      <c r="A264" s="2097" t="str">
        <f t="shared" si="37"/>
        <v>Nắp che đầu sứ MBA</v>
      </c>
      <c r="B264" s="2107" t="s">
        <v>6122</v>
      </c>
      <c r="C264" s="2116"/>
      <c r="D264" s="2109">
        <v>0</v>
      </c>
      <c r="E264" s="2110" t="s">
        <v>5704</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outlineLevel="1">
      <c r="A265" s="2097" t="str">
        <f t="shared" si="37"/>
        <v>Chụp cách điện kẹp quai</v>
      </c>
      <c r="B265" s="2107" t="s">
        <v>5700</v>
      </c>
      <c r="C265" s="2116"/>
      <c r="D265" s="2109">
        <v>0</v>
      </c>
      <c r="E265" s="2110" t="s">
        <v>4536</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outlineLevel="1">
      <c r="A267" s="2097" t="str">
        <f t="shared" si="37"/>
        <v>Kẹp hotline 2/0</v>
      </c>
      <c r="B267" s="2107" t="s">
        <v>1477</v>
      </c>
      <c r="C267" s="2116"/>
      <c r="D267" s="2109"/>
      <c r="E267" s="2110" t="s">
        <v>4333</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outlineLevel="1">
      <c r="A268" s="2097" t="str">
        <f t="shared" si="37"/>
        <v>Lắp cáp đồng xuống thiết bị D ≤ 95mm2</v>
      </c>
      <c r="B268" s="2107" t="s">
        <v>1525</v>
      </c>
      <c r="C268" s="2116"/>
      <c r="D268" s="2109" t="s">
        <v>5567</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outlineLevel="1">
      <c r="A269" s="2097" t="e">
        <f t="shared" si="37"/>
        <v>#N/A</v>
      </c>
      <c r="B269" s="2119"/>
      <c r="C269" s="2131">
        <f>IF(G269&gt;0,C259+1,C259)</f>
        <v>0</v>
      </c>
      <c r="D269" s="2109"/>
      <c r="E269" s="2147" t="s">
        <v>6132</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4.4" outlineLevel="1">
      <c r="A270" s="2097" t="e">
        <f t="shared" si="37"/>
        <v>#N/A</v>
      </c>
      <c r="B270" s="2119"/>
      <c r="C270" s="2131"/>
      <c r="D270" s="2109"/>
      <c r="E270" s="2137" t="s">
        <v>6125</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outlineLevel="1">
      <c r="A271" s="2097" t="str">
        <f t="shared" ref="A271:A294" si="38">VLOOKUP(B271,DonGia,3,0)</f>
        <v>Cáp đồng bọc CV50</v>
      </c>
      <c r="B271" s="2119" t="s">
        <v>273</v>
      </c>
      <c r="C271" s="2131"/>
      <c r="D271" s="2109">
        <v>0</v>
      </c>
      <c r="E271" s="2110" t="s">
        <v>6308</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outlineLevel="1">
      <c r="A272" s="2097" t="str">
        <f t="shared" si="38"/>
        <v>Cáp đồng bọc CV25</v>
      </c>
      <c r="B272" s="2119" t="s">
        <v>1526</v>
      </c>
      <c r="C272" s="2131"/>
      <c r="D272" s="2109">
        <v>0</v>
      </c>
      <c r="E272" s="2110" t="s">
        <v>6309</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outlineLevel="1">
      <c r="A273" s="2097" t="str">
        <f t="shared" si="38"/>
        <v xml:space="preserve">Cáp CVV 4x4mm2  </v>
      </c>
      <c r="B273" s="2119" t="s">
        <v>4516</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outlineLevel="1">
      <c r="A274" s="2097" t="str">
        <f t="shared" si="38"/>
        <v>Cáp đồng bọc CV50</v>
      </c>
      <c r="B274" s="2119" t="s">
        <v>273</v>
      </c>
      <c r="C274" s="2116"/>
      <c r="D274" s="2109">
        <v>0</v>
      </c>
      <c r="E274" s="2110" t="s">
        <v>6310</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outlineLevel="1">
      <c r="A275" s="2097" t="str">
        <f t="shared" si="38"/>
        <v>Kẹp ép WR cỡ dây 50mm2</v>
      </c>
      <c r="B275" s="2119" t="s">
        <v>905</v>
      </c>
      <c r="C275" s="2116"/>
      <c r="D275" s="2109">
        <v>0</v>
      </c>
      <c r="E275" s="2110" t="s">
        <v>6311</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outlineLevel="1">
      <c r="A276" s="2097" t="str">
        <f t="shared" si="38"/>
        <v>Kẹp ép WR cỡ dây 50mm2</v>
      </c>
      <c r="B276" s="2119" t="s">
        <v>905</v>
      </c>
      <c r="C276" s="2116"/>
      <c r="D276" s="2109">
        <v>0</v>
      </c>
      <c r="E276" s="2110" t="s">
        <v>6312</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outlineLevel="1">
      <c r="A277" s="2097" t="str">
        <f t="shared" si="38"/>
        <v>Băng keo cách điện</v>
      </c>
      <c r="B277" s="2119" t="s">
        <v>6133</v>
      </c>
      <c r="C277" s="2116"/>
      <c r="D277" s="2109">
        <v>0</v>
      </c>
      <c r="E277" s="2110" t="s">
        <v>5797</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outlineLevel="1">
      <c r="A278" s="2097" t="str">
        <f t="shared" si="38"/>
        <v xml:space="preserve">Đầu cosse ép Cu 25mm2 </v>
      </c>
      <c r="B278" s="2119" t="s">
        <v>6134</v>
      </c>
      <c r="C278" s="2116"/>
      <c r="D278" s="2109" t="s">
        <v>5720</v>
      </c>
      <c r="E278" s="2110" t="s">
        <v>5733</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outlineLevel="1">
      <c r="A279" s="2097" t="str">
        <f t="shared" si="38"/>
        <v xml:space="preserve">Đầu cosse ép Cu 25mm2 </v>
      </c>
      <c r="B279" s="2119" t="s">
        <v>6134</v>
      </c>
      <c r="C279" s="2116"/>
      <c r="D279" s="2109" t="s">
        <v>5720</v>
      </c>
      <c r="E279" s="2110" t="s">
        <v>5733</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outlineLevel="1">
      <c r="A280" s="2097" t="str">
        <f t="shared" si="38"/>
        <v>Đầu cosse ép Cu 50mm2</v>
      </c>
      <c r="B280" s="2119" t="s">
        <v>6135</v>
      </c>
      <c r="C280" s="2116"/>
      <c r="D280" s="2109" t="s">
        <v>5721</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outlineLevel="1">
      <c r="A283" s="2097" t="str">
        <f t="shared" si="38"/>
        <v>Nắp che đầu sứ MBA</v>
      </c>
      <c r="B283" s="2120" t="s">
        <v>6122</v>
      </c>
      <c r="C283" s="2116"/>
      <c r="D283" s="2109">
        <v>0</v>
      </c>
      <c r="E283" s="2110" t="s">
        <v>5704</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outlineLevel="1">
      <c r="A285" s="2097" t="str">
        <f t="shared" si="38"/>
        <v>Cổ dê kẹp ống PVC Ø 114</v>
      </c>
      <c r="B285" s="2122" t="s">
        <v>1862</v>
      </c>
      <c r="C285" s="2116"/>
      <c r="D285" s="2109">
        <v>0</v>
      </c>
      <c r="E285" s="2110" t="s">
        <v>5254</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outlineLevel="1">
      <c r="A289" s="2097" t="str">
        <f t="shared" si="38"/>
        <v>Keo silicon bít miệng ống</v>
      </c>
      <c r="B289" s="2119" t="s">
        <v>489</v>
      </c>
      <c r="C289" s="2116"/>
      <c r="D289" s="2109">
        <v>0</v>
      </c>
      <c r="E289" s="2110" t="s">
        <v>3566</v>
      </c>
      <c r="F289" s="2109" t="s">
        <v>5802</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outlineLevel="1">
      <c r="A290" s="2097" t="str">
        <f t="shared" si="38"/>
        <v>Băng keo cách điện</v>
      </c>
      <c r="B290" s="2122" t="s">
        <v>672</v>
      </c>
      <c r="C290" s="2116"/>
      <c r="D290" s="2109">
        <v>0</v>
      </c>
      <c r="E290" s="2110" t="s">
        <v>5797</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outlineLevel="1">
      <c r="A291" s="2097" t="str">
        <f t="shared" si="38"/>
        <v>Lắp ống nhựa PVC D90</v>
      </c>
      <c r="B291" s="2119" t="s">
        <v>2182</v>
      </c>
      <c r="C291" s="2116"/>
      <c r="D291" s="2109" t="s">
        <v>5543</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outlineLevel="1">
      <c r="A292" s="2097" t="str">
        <f t="shared" si="38"/>
        <v>Lắp cáp đồng xuống thiết bị D ≤ 95mm2</v>
      </c>
      <c r="B292" s="2122" t="s">
        <v>1525</v>
      </c>
      <c r="C292" s="2116"/>
      <c r="D292" s="2109" t="s">
        <v>5567</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outlineLevel="1">
      <c r="A293" s="2097" t="str">
        <f t="shared" si="38"/>
        <v>Bảng tên trạm, bảng báo nguy hiểm + đinh vít</v>
      </c>
      <c r="B293" s="2119" t="s">
        <v>289</v>
      </c>
      <c r="C293" s="2149">
        <f>IF(G293&gt;0,C269+1,C269)</f>
        <v>0</v>
      </c>
      <c r="D293" s="2150"/>
      <c r="E293" s="2110" t="s">
        <v>5708</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outlineLevel="1">
      <c r="A294" s="2097" t="e">
        <f t="shared" si="38"/>
        <v>#N/A</v>
      </c>
      <c r="B294" s="2119"/>
      <c r="C294" s="2154"/>
      <c r="D294" s="2155"/>
      <c r="E294" s="2128"/>
      <c r="F294" s="2611"/>
      <c r="G294" s="2611"/>
      <c r="H294" s="2611"/>
      <c r="I294" s="2611"/>
      <c r="J294" s="2647" t="s">
        <v>6123</v>
      </c>
      <c r="K294" s="2647"/>
      <c r="L294" s="2156">
        <f>SUM(L220:L293)</f>
        <v>0</v>
      </c>
      <c r="M294" s="2156">
        <f>SUM(M211:M293)</f>
        <v>0</v>
      </c>
      <c r="N294" s="2156">
        <f>SUM(N220:N293)</f>
        <v>0</v>
      </c>
      <c r="O294" s="2156">
        <f>SUM(O220:O293)</f>
        <v>0</v>
      </c>
      <c r="P294" s="2159"/>
    </row>
    <row r="295" spans="1:16" s="2094" customFormat="1" ht="13.95" customHeight="1">
      <c r="A295" s="2138" t="str">
        <f>IF(G300&lt;&gt;0,1,"")</f>
        <v/>
      </c>
      <c r="B295" s="2120"/>
      <c r="C295" s="2612"/>
      <c r="D295" s="2138"/>
    </row>
    <row r="296" spans="1:16" s="2094" customFormat="1"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outlineLevel="1">
      <c r="A297" s="2097" t="e">
        <f t="shared" si="39"/>
        <v>#N/A</v>
      </c>
      <c r="B297" s="2119" t="s">
        <v>6104</v>
      </c>
      <c r="C297" s="2637" t="s">
        <v>1708</v>
      </c>
      <c r="D297" s="2638" t="s">
        <v>2597</v>
      </c>
      <c r="E297" s="2640" t="s">
        <v>2598</v>
      </c>
      <c r="F297" s="2637" t="s">
        <v>2593</v>
      </c>
      <c r="G297" s="2098" t="s">
        <v>6105</v>
      </c>
      <c r="H297" s="2101" t="s">
        <v>6106</v>
      </c>
      <c r="I297" s="2608"/>
      <c r="J297" s="2608"/>
      <c r="K297" s="2609"/>
      <c r="L297" s="2101" t="s">
        <v>6107</v>
      </c>
      <c r="M297" s="2608"/>
      <c r="N297" s="2608"/>
      <c r="O297" s="2609"/>
      <c r="P297" s="2637" t="s">
        <v>2599</v>
      </c>
    </row>
    <row r="298" spans="1:16" s="2094" customFormat="1" outlineLevel="1">
      <c r="A298" s="2097" t="e">
        <f t="shared" si="39"/>
        <v>#N/A</v>
      </c>
      <c r="B298" s="2119"/>
      <c r="C298" s="2637"/>
      <c r="D298" s="2639"/>
      <c r="E298" s="2641"/>
      <c r="F298" s="2637"/>
      <c r="G298" s="2100" t="s">
        <v>2286</v>
      </c>
      <c r="H298" s="2101" t="s">
        <v>6108</v>
      </c>
      <c r="I298" s="2101" t="s">
        <v>6109</v>
      </c>
      <c r="J298" s="2101" t="s">
        <v>6110</v>
      </c>
      <c r="K298" s="2101" t="s">
        <v>6111</v>
      </c>
      <c r="L298" s="2101" t="s">
        <v>6108</v>
      </c>
      <c r="M298" s="2101" t="s">
        <v>6109</v>
      </c>
      <c r="N298" s="2101" t="s">
        <v>6110</v>
      </c>
      <c r="O298" s="2101" t="s">
        <v>6111</v>
      </c>
      <c r="P298" s="2637"/>
    </row>
    <row r="299" spans="1:16" s="2094" customFormat="1"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outlineLevel="1">
      <c r="A300" s="2097" t="str">
        <f t="shared" si="39"/>
        <v>Máy biến áp 12,7/0,23-0,46kV 50kVA</v>
      </c>
      <c r="B300" s="2107" t="str">
        <f>IF($F$8=22,"TR501","TR50")</f>
        <v>TR501</v>
      </c>
      <c r="C300" s="2108">
        <f>IF(G300&gt;0,1,0)</f>
        <v>0</v>
      </c>
      <c r="D300" s="2109" t="s">
        <v>5580</v>
      </c>
      <c r="E300" s="2110" t="s">
        <v>5583</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outlineLevel="1">
      <c r="A301" s="2097" t="str">
        <f t="shared" si="39"/>
        <v>FCO 24kV - 100A</v>
      </c>
      <c r="B301" s="2107" t="str">
        <f>"FCO100-"&amp;$F$8</f>
        <v>FCO100-22</v>
      </c>
      <c r="C301" s="2108">
        <f t="shared" ref="C301:C308" si="44">IF(G301&gt;0,C300+1,C300)</f>
        <v>0</v>
      </c>
      <c r="D301" s="2109" t="s">
        <v>5594</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outlineLevel="1">
      <c r="A303" s="2097" t="str">
        <f t="shared" si="39"/>
        <v>Chống sét van LA-18KV-10KA</v>
      </c>
      <c r="B303" s="2120" t="str">
        <f>"LA"&amp;$F$6</f>
        <v>LA18</v>
      </c>
      <c r="C303" s="2108">
        <f t="shared" si="44"/>
        <v>0</v>
      </c>
      <c r="D303" s="2109" t="s">
        <v>5598</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outlineLevel="1">
      <c r="A304" s="2097" t="str">
        <f t="shared" si="39"/>
        <v xml:space="preserve">MCCB 3 cực 600V -250A - 36KA </v>
      </c>
      <c r="B304" s="2121" t="s">
        <v>1560</v>
      </c>
      <c r="C304" s="2108">
        <f t="shared" si="44"/>
        <v>0</v>
      </c>
      <c r="D304" s="2109">
        <v>0</v>
      </c>
      <c r="E304" s="2110" t="s">
        <v>5678</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outlineLevel="1">
      <c r="A309" s="2097" t="e">
        <f t="shared" si="39"/>
        <v>#N/A</v>
      </c>
      <c r="B309" s="2119"/>
      <c r="C309" s="2124"/>
      <c r="D309" s="2125"/>
      <c r="E309" s="2106"/>
      <c r="F309" s="2124"/>
      <c r="G309" s="2124"/>
      <c r="H309" s="2124"/>
      <c r="I309" s="2124"/>
      <c r="J309" s="2106" t="s">
        <v>6113</v>
      </c>
      <c r="K309" s="2124"/>
      <c r="L309" s="2106">
        <f>SUM(L300:L308)</f>
        <v>0</v>
      </c>
      <c r="M309" s="2106"/>
      <c r="N309" s="2106">
        <f>SUM(N300:N308)</f>
        <v>0</v>
      </c>
      <c r="O309" s="2106">
        <f>SUM(O300:O308)</f>
        <v>0</v>
      </c>
      <c r="P309" s="2159"/>
    </row>
    <row r="310" spans="1:18" s="2094" customFormat="1"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outlineLevel="1">
      <c r="A312" s="2097" t="e">
        <f t="shared" si="39"/>
        <v>#N/A</v>
      </c>
      <c r="B312" s="2119"/>
      <c r="C312" s="2134">
        <f>IF(G312&gt;0,C311+1,C311)</f>
        <v>0</v>
      </c>
      <c r="D312" s="2135"/>
      <c r="E312" s="2136" t="s">
        <v>6130</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4.4" outlineLevel="1">
      <c r="A313" s="2097" t="e">
        <f t="shared" si="39"/>
        <v>#N/A</v>
      </c>
      <c r="B313" s="2119"/>
      <c r="C313" s="2131"/>
      <c r="D313" s="2135"/>
      <c r="E313" s="2137" t="s">
        <v>6125</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4.4" outlineLevel="1">
      <c r="A318" s="2097" t="e">
        <f t="shared" si="39"/>
        <v>#N/A</v>
      </c>
      <c r="B318" s="2119"/>
      <c r="C318" s="2131"/>
      <c r="D318" s="2135"/>
      <c r="E318" s="2137" t="s">
        <v>6125</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outlineLevel="1">
      <c r="A319" s="2097" t="str">
        <f t="shared" si="39"/>
        <v>Đà cản BTCT 1,2m</v>
      </c>
      <c r="B319" s="2122" t="s">
        <v>636</v>
      </c>
      <c r="C319" s="2116"/>
      <c r="D319" s="2109" t="s">
        <v>5043</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outlineLevel="1">
      <c r="A320" s="2097" t="str">
        <f t="shared" si="39"/>
        <v>Boulon 22x650+ 2 long đền vuông D24-50x50x3/Zn</v>
      </c>
      <c r="B320" s="2122" t="s">
        <v>566</v>
      </c>
      <c r="C320" s="2116"/>
      <c r="D320" s="2109">
        <v>0</v>
      </c>
      <c r="E320" s="2110" t="s">
        <v>5068</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outlineLevel="1">
      <c r="A321" s="2097" t="str">
        <f t="shared" si="39"/>
        <v>Đào hố móng đất cấp 3 sâu &gt;1m</v>
      </c>
      <c r="B321" s="2122" t="s">
        <v>639</v>
      </c>
      <c r="C321" s="2116"/>
      <c r="D321" s="2109" t="s">
        <v>1747</v>
      </c>
      <c r="E321" s="2110" t="s">
        <v>5320</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outlineLevel="1">
      <c r="A322" s="2097" t="str">
        <f t="shared" si="39"/>
        <v>Đắp đất hố móng, độ chặt k=0,95</v>
      </c>
      <c r="B322" s="2122" t="s">
        <v>21</v>
      </c>
      <c r="C322" s="2116"/>
      <c r="D322" s="2109" t="s">
        <v>5321</v>
      </c>
      <c r="E322" s="2110" t="s">
        <v>5322</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4.4" outlineLevel="1">
      <c r="A324" s="2097" t="e">
        <f t="shared" si="39"/>
        <v>#N/A</v>
      </c>
      <c r="B324" s="2119"/>
      <c r="C324" s="2131"/>
      <c r="D324" s="2135"/>
      <c r="E324" s="2161" t="s">
        <v>6125</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outlineLevel="1">
      <c r="A325" s="2097" t="str">
        <f t="shared" si="39"/>
        <v>Đà Composite 110x80x5x800</v>
      </c>
      <c r="B325" s="2122" t="s">
        <v>5153</v>
      </c>
      <c r="C325" s="2116"/>
      <c r="D325" s="2109">
        <v>0</v>
      </c>
      <c r="E325" s="2110" t="s">
        <v>4862</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outlineLevel="1">
      <c r="A326" s="2097" t="str">
        <f t="shared" si="39"/>
        <v>Chống Composite 40x10x710</v>
      </c>
      <c r="B326" s="2122" t="s">
        <v>5157</v>
      </c>
      <c r="C326" s="2116"/>
      <c r="D326" s="2109">
        <v>0</v>
      </c>
      <c r="E326" s="2110" t="s">
        <v>5158</v>
      </c>
      <c r="F326" s="2109" t="s">
        <v>5156</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outlineLevel="1">
      <c r="A327" s="2097" t="str">
        <f t="shared" si="39"/>
        <v>Bass LL bắt FCO, LA</v>
      </c>
      <c r="B327" s="2122" t="s">
        <v>1840</v>
      </c>
      <c r="C327" s="2116"/>
      <c r="D327" s="2109">
        <v>0</v>
      </c>
      <c r="E327" s="2110" t="s">
        <v>5074</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outlineLevel="1">
      <c r="A328" s="2097" t="str">
        <f t="shared" ref="A328:A359" si="49">VLOOKUP(B328,DonGia,3,0)</f>
        <v>Nắp che đầu cực FCO</v>
      </c>
      <c r="B328" s="2122" t="s">
        <v>6117</v>
      </c>
      <c r="C328" s="2116"/>
      <c r="D328" s="2109">
        <v>0</v>
      </c>
      <c r="E328" s="2110" t="s">
        <v>5696</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outlineLevel="1">
      <c r="A329" s="2097" t="str">
        <f t="shared" si="49"/>
        <v>Nắp che đầu cực LA</v>
      </c>
      <c r="B329" s="2122" t="s">
        <v>6118</v>
      </c>
      <c r="C329" s="2116"/>
      <c r="D329" s="2109">
        <v>0</v>
      </c>
      <c r="E329" s="2110" t="s">
        <v>5702</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outlineLevel="1">
      <c r="A332" s="2097" t="str">
        <f t="shared" si="49"/>
        <v>Lắp xà đỡ ≤ 25kg</v>
      </c>
      <c r="B332" s="2122" t="s">
        <v>1995</v>
      </c>
      <c r="C332" s="2116"/>
      <c r="D332" s="2109" t="s">
        <v>5374</v>
      </c>
      <c r="E332" s="2110" t="s">
        <v>5375</v>
      </c>
      <c r="F332" s="2109" t="s">
        <v>2439</v>
      </c>
      <c r="G332" s="2116">
        <f>G323</f>
        <v>0</v>
      </c>
      <c r="H332" s="2112">
        <v>0</v>
      </c>
      <c r="I332" s="2117"/>
      <c r="J332" s="2142" t="s">
        <v>6298</v>
      </c>
      <c r="K332" s="2112">
        <v>0</v>
      </c>
      <c r="L332" s="2118">
        <f t="shared" si="45"/>
        <v>0</v>
      </c>
      <c r="M332" s="2118">
        <f>I332*G332</f>
        <v>0</v>
      </c>
      <c r="N332" s="2143">
        <f>106640*G332*1.5</f>
        <v>0</v>
      </c>
      <c r="O332" s="2117">
        <f t="shared" si="48"/>
        <v>0</v>
      </c>
      <c r="P332" s="2144"/>
    </row>
    <row r="333" spans="1:18" s="2094" customFormat="1"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4.4" outlineLevel="1">
      <c r="A334" s="2097" t="e">
        <f t="shared" si="49"/>
        <v>#N/A</v>
      </c>
      <c r="B334" s="2119"/>
      <c r="C334" s="2116"/>
      <c r="D334" s="2139"/>
      <c r="E334" s="2161" t="s">
        <v>6125</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outlineLevel="1">
      <c r="A336" s="2097" t="str">
        <f t="shared" si="49"/>
        <v>Cọc tiếp đất Þ 16- 2,4m + kẹp cọc mạ đồng</v>
      </c>
      <c r="B336" s="2122" t="s">
        <v>1508</v>
      </c>
      <c r="C336" s="2116"/>
      <c r="D336" s="2109">
        <v>0</v>
      </c>
      <c r="E336" s="2110" t="s">
        <v>5159</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outlineLevel="1">
      <c r="A340" s="2097" t="str">
        <f t="shared" si="49"/>
        <v>Cổ dê kẹp ống PVC  21</v>
      </c>
      <c r="B340" s="2122" t="s">
        <v>525</v>
      </c>
      <c r="C340" s="2116"/>
      <c r="D340" s="2109">
        <v>0</v>
      </c>
      <c r="E340" s="2110" t="s">
        <v>5248</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outlineLevel="1">
      <c r="A341" s="2097" t="str">
        <f t="shared" si="49"/>
        <v>Kéo dây tiếp địa trong TBA</v>
      </c>
      <c r="B341" s="2119" t="s">
        <v>2183</v>
      </c>
      <c r="C341" s="2116"/>
      <c r="D341" s="2109" t="s">
        <v>5342</v>
      </c>
      <c r="E341" s="2110" t="s">
        <v>5343</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outlineLevel="1">
      <c r="A342" s="2097" t="str">
        <f t="shared" si="49"/>
        <v>Đóng cọc tiếp địa trong TBA</v>
      </c>
      <c r="B342" s="2122" t="s">
        <v>902</v>
      </c>
      <c r="C342" s="2116"/>
      <c r="D342" s="2109" t="s">
        <v>5347</v>
      </c>
      <c r="E342" s="2110" t="s">
        <v>5348</v>
      </c>
      <c r="F342" s="2109" t="s">
        <v>2278</v>
      </c>
      <c r="G342" s="2116">
        <f>G336</f>
        <v>0</v>
      </c>
      <c r="H342" s="2112">
        <v>0</v>
      </c>
      <c r="I342" s="2117"/>
      <c r="J342" s="2112" t="s">
        <v>6307</v>
      </c>
      <c r="K342" s="2112">
        <v>1573.075</v>
      </c>
      <c r="L342" s="2118">
        <f>H342*G342</f>
        <v>0</v>
      </c>
      <c r="M342" s="2118">
        <f>I342*G342</f>
        <v>0</v>
      </c>
      <c r="N342" s="2112">
        <v>0</v>
      </c>
      <c r="O342" s="2117">
        <f>K342*G342</f>
        <v>0</v>
      </c>
      <c r="P342" s="2144"/>
    </row>
    <row r="343" spans="1:16" s="2094" customFormat="1" outlineLevel="1">
      <c r="A343" s="2097" t="str">
        <f t="shared" si="49"/>
        <v>Đào rãnh tiếp địa đất cấp 3</v>
      </c>
      <c r="B343" s="2119" t="s">
        <v>1055</v>
      </c>
      <c r="C343" s="2116"/>
      <c r="D343" s="2109" t="s">
        <v>5332</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outlineLevel="1">
      <c r="A344" s="2097" t="str">
        <f t="shared" si="49"/>
        <v>Đắp đất rãnh tiếp độ chặt k=0,85</v>
      </c>
      <c r="B344" s="2122" t="s">
        <v>1056</v>
      </c>
      <c r="C344" s="2116"/>
      <c r="D344" s="2109" t="s">
        <v>5321</v>
      </c>
      <c r="E344" s="2110" t="s">
        <v>5333</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4.4" outlineLevel="1">
      <c r="A346" s="2097" t="e">
        <f t="shared" si="49"/>
        <v>#N/A</v>
      </c>
      <c r="B346" s="2119"/>
      <c r="C346" s="2131"/>
      <c r="D346" s="2135"/>
      <c r="E346" s="2161" t="s">
        <v>6125</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outlineLevel="1">
      <c r="A347" s="2097" t="str">
        <f t="shared" si="49"/>
        <v>Tủ MCCB trạm treo 1 pha</v>
      </c>
      <c r="B347" s="2170" t="s">
        <v>5650</v>
      </c>
      <c r="C347" s="2116"/>
      <c r="D347" s="2109" t="s">
        <v>5651</v>
      </c>
      <c r="E347" s="2110" t="s">
        <v>5652</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outlineLevel="1">
      <c r="A349" s="2097" t="str">
        <f t="shared" si="49"/>
        <v xml:space="preserve">Bakelit 550x450 dầy 10mm </v>
      </c>
      <c r="B349" s="2119" t="s">
        <v>880</v>
      </c>
      <c r="C349" s="2116"/>
      <c r="D349" s="2109">
        <v>0</v>
      </c>
      <c r="E349" s="2110" t="s">
        <v>5795</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outlineLevel="1">
      <c r="A350" s="2097" t="e">
        <f t="shared" si="49"/>
        <v>#N/A</v>
      </c>
      <c r="B350" s="2119"/>
      <c r="C350" s="2131">
        <f>IF(G350&gt;0,C345+1,C345)</f>
        <v>0</v>
      </c>
      <c r="D350" s="2135"/>
      <c r="E350" s="2160" t="s">
        <v>6131</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4.4" outlineLevel="1">
      <c r="A351" s="2097" t="e">
        <f t="shared" si="49"/>
        <v>#N/A</v>
      </c>
      <c r="B351" s="2119"/>
      <c r="C351" s="2131"/>
      <c r="D351" s="2135"/>
      <c r="E351" s="2161" t="s">
        <v>6125</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outlineLevel="1">
      <c r="A352" s="2097" t="str">
        <f t="shared" si="49"/>
        <v>Cáp 24KV C/XLPE/PVC 25mm2</v>
      </c>
      <c r="B352" s="2122" t="s">
        <v>697</v>
      </c>
      <c r="C352" s="2116"/>
      <c r="D352" s="2109">
        <v>0</v>
      </c>
      <c r="E352" s="2110" t="s">
        <v>5083</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outlineLevel="1">
      <c r="A354" s="2097" t="str">
        <f t="shared" si="49"/>
        <v>Kẹp hotline 2/0</v>
      </c>
      <c r="B354" s="2107" t="s">
        <v>1477</v>
      </c>
      <c r="C354" s="2116"/>
      <c r="D354" s="2109">
        <v>0</v>
      </c>
      <c r="E354" s="2110" t="s">
        <v>4333</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outlineLevel="1">
      <c r="A355" s="2097" t="str">
        <f t="shared" si="49"/>
        <v>Lắp cáp đồng xuống thiết bị D ≤ 95mm2</v>
      </c>
      <c r="B355" s="2107" t="s">
        <v>1525</v>
      </c>
      <c r="C355" s="2116"/>
      <c r="D355" s="2109" t="s">
        <v>5567</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outlineLevel="1">
      <c r="A356" s="2097" t="e">
        <f t="shared" si="49"/>
        <v>#N/A</v>
      </c>
      <c r="B356" s="2119"/>
      <c r="C356" s="2131">
        <f>IF(G356&gt;0,C350+1,C350)</f>
        <v>0</v>
      </c>
      <c r="D356" s="2135"/>
      <c r="E356" s="2147" t="s">
        <v>6136</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4.4" outlineLevel="1">
      <c r="A357" s="2097" t="e">
        <f t="shared" si="49"/>
        <v>#N/A</v>
      </c>
      <c r="B357" s="2119"/>
      <c r="C357" s="2131"/>
      <c r="D357" s="2135"/>
      <c r="E357" s="2137" t="s">
        <v>6125</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outlineLevel="1">
      <c r="A360" s="2097" t="str">
        <f t="shared" ref="A360:A375" si="50">VLOOKUP(B360,DonGia,3,0)</f>
        <v>Đầu cosse ép Cu 95mm2</v>
      </c>
      <c r="B360" s="2119" t="s">
        <v>6137</v>
      </c>
      <c r="C360" s="2116"/>
      <c r="D360" s="2109" t="s">
        <v>5723</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outlineLevel="1">
      <c r="A361" s="2097" t="str">
        <f t="shared" si="50"/>
        <v>Đầu cosse ép Cu 50mm2</v>
      </c>
      <c r="B361" s="2119" t="s">
        <v>6138</v>
      </c>
      <c r="C361" s="2116"/>
      <c r="D361" s="2109" t="s">
        <v>5721</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outlineLevel="1">
      <c r="A363" s="2097" t="str">
        <f t="shared" si="50"/>
        <v>Chụp đầu cosse  50mm2</v>
      </c>
      <c r="B363" s="2119" t="s">
        <v>6139</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outlineLevel="1">
      <c r="A364" s="2097" t="str">
        <f t="shared" si="50"/>
        <v>Nắp che đầu sứ MBA</v>
      </c>
      <c r="B364" s="2119" t="s">
        <v>6122</v>
      </c>
      <c r="C364" s="2116"/>
      <c r="D364" s="2109">
        <v>0</v>
      </c>
      <c r="E364" s="2110" t="s">
        <v>5704</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outlineLevel="1">
      <c r="A366" s="2097" t="str">
        <f t="shared" si="50"/>
        <v>Cổ dê kẹp ống PVC Ø 90</v>
      </c>
      <c r="B366" s="2122" t="s">
        <v>276</v>
      </c>
      <c r="C366" s="2116"/>
      <c r="D366" s="2109">
        <v>0</v>
      </c>
      <c r="E366" s="2110" t="s">
        <v>5253</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outlineLevel="1">
      <c r="A367" s="2097" t="str">
        <f t="shared" si="50"/>
        <v>Co  90 độ PVC 90</v>
      </c>
      <c r="B367" s="2119" t="s">
        <v>69</v>
      </c>
      <c r="C367" s="2116"/>
      <c r="D367" s="2109">
        <v>0</v>
      </c>
      <c r="E367" s="2110" t="s">
        <v>5793</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outlineLevel="1">
      <c r="A370" s="2097" t="str">
        <f t="shared" si="50"/>
        <v>Keo silicon bít miệng ống</v>
      </c>
      <c r="B370" s="2119" t="s">
        <v>489</v>
      </c>
      <c r="C370" s="2116"/>
      <c r="D370" s="2109">
        <v>0</v>
      </c>
      <c r="E370" s="2110" t="s">
        <v>3566</v>
      </c>
      <c r="F370" s="2109" t="s">
        <v>5802</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outlineLevel="1">
      <c r="A371" s="2097" t="str">
        <f t="shared" si="50"/>
        <v>Băng keo cách điện</v>
      </c>
      <c r="B371" s="2122" t="s">
        <v>672</v>
      </c>
      <c r="C371" s="2116"/>
      <c r="D371" s="2139"/>
      <c r="E371" s="2110" t="s">
        <v>5797</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outlineLevel="1">
      <c r="A372" s="2097" t="str">
        <f t="shared" si="50"/>
        <v>Lắp ống nhựa PVC D90</v>
      </c>
      <c r="B372" s="2119" t="s">
        <v>2182</v>
      </c>
      <c r="C372" s="2116"/>
      <c r="D372" s="2109" t="s">
        <v>5543</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outlineLevel="1">
      <c r="A373" s="2097" t="str">
        <f t="shared" si="50"/>
        <v>Lắp cáp đồng xuống thiết bị D ≤ 95mm2</v>
      </c>
      <c r="B373" s="2122" t="s">
        <v>1525</v>
      </c>
      <c r="C373" s="2116"/>
      <c r="D373" s="2109" t="s">
        <v>5567</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outlineLevel="1">
      <c r="A374" s="2097" t="str">
        <f t="shared" si="50"/>
        <v>Bảng tên trạm, bảng báo nguy hiểm + đinh vít</v>
      </c>
      <c r="B374" s="2119" t="s">
        <v>289</v>
      </c>
      <c r="C374" s="2149">
        <f>IF(G374&gt;0,C356+1,C356)</f>
        <v>0</v>
      </c>
      <c r="D374" s="2150"/>
      <c r="E374" s="2110" t="s">
        <v>5708</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outlineLevel="1">
      <c r="A375" s="2097" t="e">
        <f t="shared" si="50"/>
        <v>#N/A</v>
      </c>
      <c r="B375" s="2119"/>
      <c r="C375" s="2154"/>
      <c r="D375" s="2155"/>
      <c r="E375" s="2128"/>
      <c r="F375" s="2611"/>
      <c r="G375" s="2611"/>
      <c r="H375" s="2611"/>
      <c r="I375" s="2611"/>
      <c r="J375" s="2647" t="s">
        <v>6123</v>
      </c>
      <c r="K375" s="2647"/>
      <c r="L375" s="2156">
        <f>SUM(L311:L374)</f>
        <v>0</v>
      </c>
      <c r="M375" s="2156"/>
      <c r="N375" s="2156">
        <f>SUM(N311:N374)</f>
        <v>0</v>
      </c>
      <c r="O375" s="2156">
        <f>SUM(O311:O374)</f>
        <v>0</v>
      </c>
      <c r="P375" s="2159"/>
    </row>
    <row r="376" spans="1:16" s="2094" customFormat="1" ht="13.95" customHeight="1">
      <c r="A376" s="2138" t="str">
        <f>IF(G381&lt;&gt;0,1,"")</f>
        <v/>
      </c>
      <c r="B376" s="2120"/>
      <c r="C376" s="2612"/>
      <c r="D376" s="2138"/>
    </row>
    <row r="377" spans="1:16" s="2094" customFormat="1"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outlineLevel="1">
      <c r="A378" s="2097" t="e">
        <f t="shared" si="51"/>
        <v>#N/A</v>
      </c>
      <c r="B378" s="2119" t="s">
        <v>6104</v>
      </c>
      <c r="C378" s="2637" t="s">
        <v>1708</v>
      </c>
      <c r="D378" s="2638" t="s">
        <v>2597</v>
      </c>
      <c r="E378" s="2640" t="s">
        <v>2598</v>
      </c>
      <c r="F378" s="2637" t="s">
        <v>2593</v>
      </c>
      <c r="G378" s="2098" t="s">
        <v>6105</v>
      </c>
      <c r="H378" s="2101" t="s">
        <v>6106</v>
      </c>
      <c r="I378" s="2608"/>
      <c r="J378" s="2608"/>
      <c r="K378" s="2609"/>
      <c r="L378" s="2101" t="s">
        <v>6107</v>
      </c>
      <c r="M378" s="2608"/>
      <c r="N378" s="2608"/>
      <c r="O378" s="2609"/>
      <c r="P378" s="2637" t="s">
        <v>2599</v>
      </c>
    </row>
    <row r="379" spans="1:16" s="2094" customFormat="1" outlineLevel="1">
      <c r="A379" s="2097" t="e">
        <f t="shared" si="51"/>
        <v>#N/A</v>
      </c>
      <c r="B379" s="2119"/>
      <c r="C379" s="2637"/>
      <c r="D379" s="2639"/>
      <c r="E379" s="2641"/>
      <c r="F379" s="2637"/>
      <c r="G379" s="2100" t="s">
        <v>2286</v>
      </c>
      <c r="H379" s="2101" t="s">
        <v>6108</v>
      </c>
      <c r="I379" s="2101" t="s">
        <v>6109</v>
      </c>
      <c r="J379" s="2101" t="s">
        <v>6110</v>
      </c>
      <c r="K379" s="2101" t="s">
        <v>6111</v>
      </c>
      <c r="L379" s="2101" t="s">
        <v>6108</v>
      </c>
      <c r="M379" s="2101" t="s">
        <v>6109</v>
      </c>
      <c r="N379" s="2101" t="s">
        <v>6110</v>
      </c>
      <c r="O379" s="2101" t="s">
        <v>6111</v>
      </c>
      <c r="P379" s="2637"/>
    </row>
    <row r="380" spans="1:16" s="2094" customFormat="1"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outlineLevel="1">
      <c r="A381" s="2097" t="str">
        <f t="shared" si="51"/>
        <v>Máy biến áp 12,7/0,23-0,46kV  75kVA</v>
      </c>
      <c r="B381" s="2107" t="str">
        <f>IF($F$8=22,"TR751","TR75")</f>
        <v>TR751</v>
      </c>
      <c r="C381" s="2108">
        <f>IF(G381&gt;0,1,0)</f>
        <v>0</v>
      </c>
      <c r="D381" s="2109" t="s">
        <v>5581</v>
      </c>
      <c r="E381" s="2110" t="s">
        <v>5584</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outlineLevel="1">
      <c r="A382" s="2097" t="str">
        <f t="shared" si="51"/>
        <v>FCO 24kV - 100A</v>
      </c>
      <c r="B382" s="2107" t="str">
        <f>"FCO100-"&amp;$F$8</f>
        <v>FCO100-22</v>
      </c>
      <c r="C382" s="2108">
        <f t="shared" ref="C382:C389" si="56">IF(G382&gt;0,C381+1,C381)</f>
        <v>0</v>
      </c>
      <c r="D382" s="2109" t="s">
        <v>5594</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outlineLevel="1">
      <c r="A384" s="2097" t="str">
        <f t="shared" si="51"/>
        <v>Chống sét van LA-18KV-10KA</v>
      </c>
      <c r="B384" s="2120" t="str">
        <f>"LA"&amp;$F$6</f>
        <v>LA18</v>
      </c>
      <c r="C384" s="2108">
        <f t="shared" si="56"/>
        <v>0</v>
      </c>
      <c r="D384" s="2109" t="s">
        <v>5598</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outlineLevel="1">
      <c r="A386" s="2097" t="str">
        <f t="shared" si="51"/>
        <v>MCCB 3 cực 400V -200A - 35KA</v>
      </c>
      <c r="B386" s="2148" t="s">
        <v>1427</v>
      </c>
      <c r="C386" s="2108">
        <f t="shared" si="56"/>
        <v>0</v>
      </c>
      <c r="D386" s="2109">
        <v>0</v>
      </c>
      <c r="E386" s="2110" t="s">
        <v>5677</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outlineLevel="1">
      <c r="A390" s="2097" t="e">
        <f t="shared" si="51"/>
        <v>#N/A</v>
      </c>
      <c r="B390" s="2119"/>
      <c r="C390" s="2124"/>
      <c r="D390" s="2125"/>
      <c r="E390" s="2106"/>
      <c r="F390" s="2124"/>
      <c r="G390" s="2615"/>
      <c r="H390" s="2124"/>
      <c r="I390" s="2124"/>
      <c r="J390" s="2106" t="s">
        <v>6113</v>
      </c>
      <c r="K390" s="2124"/>
      <c r="L390" s="2106">
        <f>SUM(L381:L389)</f>
        <v>0</v>
      </c>
      <c r="M390" s="2106"/>
      <c r="N390" s="2106">
        <f>SUM(N381:N389)</f>
        <v>0</v>
      </c>
      <c r="O390" s="2106">
        <f>SUM(O381:O389)</f>
        <v>0</v>
      </c>
      <c r="P390" s="2159"/>
    </row>
    <row r="391" spans="1:18" s="2094" customFormat="1"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outlineLevel="1">
      <c r="A393" s="2097" t="e">
        <f t="shared" si="51"/>
        <v>#N/A</v>
      </c>
      <c r="B393" s="2119"/>
      <c r="C393" s="2134">
        <f>IF(G393&gt;0,C392+1,C392)</f>
        <v>0</v>
      </c>
      <c r="D393" s="2135"/>
      <c r="E393" s="2136" t="s">
        <v>6130</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4.4" outlineLevel="1">
      <c r="A394" s="2097" t="e">
        <f t="shared" si="51"/>
        <v>#N/A</v>
      </c>
      <c r="B394" s="2119"/>
      <c r="C394" s="2131"/>
      <c r="D394" s="2135"/>
      <c r="E394" s="2137" t="s">
        <v>6125</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outlineLevel="1">
      <c r="A398" s="2097" t="e">
        <f t="shared" si="51"/>
        <v>#N/A</v>
      </c>
      <c r="B398" s="2119"/>
      <c r="C398" s="2134">
        <f>IF(G398&gt;0,C393+1,C393)</f>
        <v>0</v>
      </c>
      <c r="D398" s="2135"/>
      <c r="E398" s="2136" t="s">
        <v>6140</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4.4" outlineLevel="1">
      <c r="A399" s="2097" t="e">
        <f t="shared" si="51"/>
        <v>#N/A</v>
      </c>
      <c r="B399" s="2119"/>
      <c r="C399" s="2131"/>
      <c r="D399" s="2135"/>
      <c r="E399" s="2137" t="s">
        <v>6125</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outlineLevel="1">
      <c r="A400" s="2097" t="str">
        <f t="shared" si="51"/>
        <v>Đà U160x68x5x2800 đỡ MBA</v>
      </c>
      <c r="B400" s="2169" t="s">
        <v>1136</v>
      </c>
      <c r="C400" s="2116"/>
      <c r="D400" s="2109">
        <v>0</v>
      </c>
      <c r="E400" s="2110" t="s">
        <v>6313</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outlineLevel="1">
      <c r="A401" s="2097" t="str">
        <f t="shared" si="51"/>
        <v>Boulon 16x250+ 2 long đền vuông D18-50x50x3/Zn</v>
      </c>
      <c r="B401" s="2122" t="s">
        <v>6141</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outlineLevel="1">
      <c r="A402" s="2097" t="str">
        <f t="shared" si="51"/>
        <v>Lắp xà đỡ 2,8m đơn (42,84kg)</v>
      </c>
      <c r="B402" s="2169" t="s">
        <v>5394</v>
      </c>
      <c r="C402" s="2116"/>
      <c r="D402" s="2109" t="s">
        <v>5395</v>
      </c>
      <c r="E402" s="2110" t="s">
        <v>5396</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outlineLevel="1">
      <c r="A403" s="2097" t="str">
        <f t="shared" si="51"/>
        <v>Đắp đất hố móng, độ chặt k=0,95</v>
      </c>
      <c r="B403" s="2122" t="s">
        <v>21</v>
      </c>
      <c r="C403" s="2116"/>
      <c r="D403" s="2109" t="s">
        <v>5321</v>
      </c>
      <c r="E403" s="2110" t="s">
        <v>5322</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4.4" outlineLevel="1">
      <c r="A405" s="2097" t="e">
        <f t="shared" si="51"/>
        <v>#N/A</v>
      </c>
      <c r="B405" s="2119"/>
      <c r="C405" s="2131"/>
      <c r="D405" s="2135"/>
      <c r="E405" s="2161" t="s">
        <v>6125</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outlineLevel="1">
      <c r="A406" s="2097" t="str">
        <f t="shared" si="51"/>
        <v>Đà Composite 110x80x5x800</v>
      </c>
      <c r="B406" s="2122" t="s">
        <v>5153</v>
      </c>
      <c r="C406" s="2116"/>
      <c r="D406" s="2109">
        <v>0</v>
      </c>
      <c r="E406" s="2110" t="s">
        <v>4862</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outlineLevel="1">
      <c r="A407" s="2097" t="str">
        <f t="shared" si="51"/>
        <v>Chống Composite 40x10x710</v>
      </c>
      <c r="B407" s="2122" t="s">
        <v>5157</v>
      </c>
      <c r="C407" s="2116"/>
      <c r="D407" s="2109">
        <v>0</v>
      </c>
      <c r="E407" s="2110" t="s">
        <v>5158</v>
      </c>
      <c r="F407" s="2109" t="s">
        <v>5156</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outlineLevel="1">
      <c r="A408" s="2097" t="str">
        <f t="shared" si="51"/>
        <v>Bass LL bắt FCO, LA</v>
      </c>
      <c r="B408" s="2122" t="s">
        <v>1840</v>
      </c>
      <c r="C408" s="2116"/>
      <c r="D408" s="2109">
        <v>0</v>
      </c>
      <c r="E408" s="2110" t="s">
        <v>5074</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outlineLevel="1">
      <c r="A412" s="2097" t="str">
        <f t="shared" si="61"/>
        <v>Lắp xà đỡ composite dài 800mm (3kg)</v>
      </c>
      <c r="B412" s="2122" t="s">
        <v>5366</v>
      </c>
      <c r="C412" s="2116"/>
      <c r="D412" s="2109" t="s">
        <v>5144</v>
      </c>
      <c r="E412" s="2110" t="s">
        <v>5367</v>
      </c>
      <c r="F412" s="2109" t="s">
        <v>2439</v>
      </c>
      <c r="G412" s="2173">
        <f>G404</f>
        <v>0</v>
      </c>
      <c r="H412" s="2112">
        <v>0</v>
      </c>
      <c r="I412" s="2117"/>
      <c r="J412" s="2142" t="s">
        <v>6305</v>
      </c>
      <c r="K412" s="2112">
        <v>0</v>
      </c>
      <c r="L412" s="2118">
        <f t="shared" si="57"/>
        <v>0</v>
      </c>
      <c r="M412" s="2118">
        <f>I412*G412</f>
        <v>0</v>
      </c>
      <c r="N412" s="2118">
        <v>0</v>
      </c>
      <c r="O412" s="2117">
        <f t="shared" si="60"/>
        <v>0</v>
      </c>
      <c r="P412" s="2144"/>
    </row>
    <row r="413" spans="1:18" s="2094" customFormat="1"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4.4" outlineLevel="1">
      <c r="A414" s="2097" t="e">
        <f t="shared" si="61"/>
        <v>#N/A</v>
      </c>
      <c r="B414" s="2119"/>
      <c r="C414" s="2116"/>
      <c r="D414" s="2139"/>
      <c r="E414" s="2161" t="s">
        <v>6125</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outlineLevel="1">
      <c r="A415" s="2097" t="str">
        <f t="shared" si="61"/>
        <v>Cáp đồng trần M25mm2</v>
      </c>
      <c r="B415" s="2119" t="s">
        <v>1033</v>
      </c>
      <c r="C415" s="2116"/>
      <c r="D415" s="2109">
        <v>0</v>
      </c>
      <c r="E415" s="2110" t="s">
        <v>6306</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outlineLevel="1">
      <c r="A416" s="2097" t="str">
        <f t="shared" si="61"/>
        <v>Cọc tiếp đất Þ 16- 2,4m + kẹp cọc mạ đồng</v>
      </c>
      <c r="B416" s="2119" t="s">
        <v>1508</v>
      </c>
      <c r="C416" s="2116"/>
      <c r="D416" s="2109">
        <v>0</v>
      </c>
      <c r="E416" s="2110" t="s">
        <v>5159</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outlineLevel="1">
      <c r="A418" s="2097" t="str">
        <f t="shared" si="61"/>
        <v>Cut PVC 21</v>
      </c>
      <c r="B418" s="2119" t="s">
        <v>6142</v>
      </c>
      <c r="C418" s="2116"/>
      <c r="D418" s="2109">
        <v>0</v>
      </c>
      <c r="E418" s="2110" t="s">
        <v>5792</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outlineLevel="1">
      <c r="A421" s="2097" t="str">
        <f t="shared" si="61"/>
        <v>Cổ dê kẹp ống PVC  21</v>
      </c>
      <c r="B421" s="2119" t="s">
        <v>525</v>
      </c>
      <c r="C421" s="2116"/>
      <c r="D421" s="2109">
        <v>0</v>
      </c>
      <c r="E421" s="2110" t="s">
        <v>5248</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outlineLevel="1">
      <c r="A423" s="2097" t="str">
        <f t="shared" si="61"/>
        <v>Đai thép Inox</v>
      </c>
      <c r="B423" s="2119" t="s">
        <v>5177</v>
      </c>
      <c r="C423" s="2116"/>
      <c r="D423" s="2109">
        <v>0</v>
      </c>
      <c r="E423" s="2110" t="s">
        <v>5178</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outlineLevel="1">
      <c r="A424" s="2097" t="str">
        <f t="shared" si="61"/>
        <v>Khóa đai Inox</v>
      </c>
      <c r="B424" s="2119" t="s">
        <v>5179</v>
      </c>
      <c r="C424" s="2116"/>
      <c r="D424" s="2109">
        <v>0</v>
      </c>
      <c r="E424" s="2110" t="s">
        <v>5180</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outlineLevel="1">
      <c r="A425" s="2097" t="str">
        <f t="shared" si="61"/>
        <v>Cổ dê kẹp ống PVC  21</v>
      </c>
      <c r="B425" s="2122" t="s">
        <v>525</v>
      </c>
      <c r="C425" s="2116"/>
      <c r="D425" s="2109">
        <v>0</v>
      </c>
      <c r="E425" s="2110" t="s">
        <v>5248</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outlineLevel="1">
      <c r="A426" s="2097" t="str">
        <f t="shared" si="61"/>
        <v>Giếng tiếp địa khoan đất</v>
      </c>
      <c r="B426" s="2119" t="s">
        <v>6143</v>
      </c>
      <c r="C426" s="2116"/>
      <c r="D426" s="2109">
        <v>0</v>
      </c>
      <c r="E426" s="2110" t="s">
        <v>5709</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outlineLevel="1">
      <c r="A427" s="2097" t="str">
        <f t="shared" si="61"/>
        <v>Kéo dây tiếp địa trong TBA</v>
      </c>
      <c r="B427" s="2119" t="s">
        <v>2183</v>
      </c>
      <c r="C427" s="2116"/>
      <c r="D427" s="2109" t="s">
        <v>5342</v>
      </c>
      <c r="E427" s="2110" t="s">
        <v>5343</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outlineLevel="1">
      <c r="A428" s="2097" t="str">
        <f t="shared" si="61"/>
        <v>Đóng cọc tiếp địa trong TBA</v>
      </c>
      <c r="B428" s="2122" t="s">
        <v>902</v>
      </c>
      <c r="C428" s="2116"/>
      <c r="D428" s="2109" t="s">
        <v>5347</v>
      </c>
      <c r="E428" s="2110" t="s">
        <v>5348</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outlineLevel="1">
      <c r="A429" s="2097" t="str">
        <f t="shared" si="61"/>
        <v>Đào rãnh tiếp địa đất cấp 3</v>
      </c>
      <c r="B429" s="2119" t="s">
        <v>1055</v>
      </c>
      <c r="C429" s="2116"/>
      <c r="D429" s="2109" t="s">
        <v>5332</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outlineLevel="1">
      <c r="A430" s="2097" t="str">
        <f t="shared" si="61"/>
        <v>Đắp đất rãnh tiếp độ chặt k=0,85</v>
      </c>
      <c r="B430" s="2122" t="s">
        <v>1056</v>
      </c>
      <c r="C430" s="2116"/>
      <c r="D430" s="2109" t="s">
        <v>5321</v>
      </c>
      <c r="E430" s="2110" t="s">
        <v>5333</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4.4" outlineLevel="1">
      <c r="A432" s="2097" t="e">
        <f t="shared" si="61"/>
        <v>#N/A</v>
      </c>
      <c r="B432" s="2119"/>
      <c r="C432" s="2131"/>
      <c r="D432" s="2135"/>
      <c r="E432" s="2161" t="s">
        <v>6125</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outlineLevel="1">
      <c r="A433" s="2097" t="str">
        <f t="shared" si="61"/>
        <v>Tủ MCCB trạm treo 1 pha</v>
      </c>
      <c r="B433" s="2119" t="s">
        <v>5650</v>
      </c>
      <c r="C433" s="2116"/>
      <c r="D433" s="2109" t="s">
        <v>5651</v>
      </c>
      <c r="E433" s="2110" t="s">
        <v>5652</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outlineLevel="1">
      <c r="A435" s="2097" t="str">
        <f t="shared" si="61"/>
        <v xml:space="preserve">Bakelit 550x450 dầy 10mm </v>
      </c>
      <c r="B435" s="2119" t="s">
        <v>880</v>
      </c>
      <c r="C435" s="2116"/>
      <c r="D435" s="2109">
        <v>0</v>
      </c>
      <c r="E435" s="2110" t="s">
        <v>5795</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outlineLevel="1">
      <c r="A436" s="2097" t="e">
        <f t="shared" si="61"/>
        <v>#N/A</v>
      </c>
      <c r="B436" s="2119"/>
      <c r="C436" s="2131">
        <f>IF(G436&gt;0,C431+1,C431)</f>
        <v>0</v>
      </c>
      <c r="D436" s="2135"/>
      <c r="E436" s="2160" t="s">
        <v>6144</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4.4" outlineLevel="1">
      <c r="A437" s="2097" t="e">
        <f t="shared" si="61"/>
        <v>#N/A</v>
      </c>
      <c r="B437" s="2119"/>
      <c r="C437" s="2131"/>
      <c r="D437" s="2135"/>
      <c r="E437" s="2161" t="s">
        <v>6125</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outlineLevel="1">
      <c r="A438" s="2097" t="str">
        <f t="shared" si="61"/>
        <v>Cáp 24KV C/XLPE/PVC 25mm2</v>
      </c>
      <c r="B438" s="2122" t="s">
        <v>697</v>
      </c>
      <c r="C438" s="2116"/>
      <c r="D438" s="2109">
        <v>0</v>
      </c>
      <c r="E438" s="2110" t="s">
        <v>5083</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outlineLevel="1">
      <c r="A440" s="2097" t="str">
        <f t="shared" si="61"/>
        <v>Kẹp hotline 2/0</v>
      </c>
      <c r="B440" s="2107" t="s">
        <v>1477</v>
      </c>
      <c r="C440" s="2116"/>
      <c r="D440" s="2109"/>
      <c r="E440" s="2110" t="s">
        <v>4333</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outlineLevel="1">
      <c r="A441" s="2097" t="str">
        <f t="shared" ref="A441:A472" si="63">VLOOKUP(B441,DonGia,3,0)</f>
        <v>Nắp che đầu cực FCO</v>
      </c>
      <c r="B441" s="2122" t="s">
        <v>6117</v>
      </c>
      <c r="C441" s="2116"/>
      <c r="D441" s="2109">
        <v>0</v>
      </c>
      <c r="E441" s="2110" t="s">
        <v>5696</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outlineLevel="1">
      <c r="A442" s="2097" t="str">
        <f t="shared" si="63"/>
        <v>Nắp che đầu cực LA</v>
      </c>
      <c r="B442" s="2122" t="s">
        <v>6118</v>
      </c>
      <c r="C442" s="2116"/>
      <c r="D442" s="2109">
        <v>0</v>
      </c>
      <c r="E442" s="2110" t="s">
        <v>5702</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outlineLevel="1">
      <c r="A443" s="2097" t="str">
        <f t="shared" si="63"/>
        <v>Nắp che đầu sứ MBA</v>
      </c>
      <c r="B443" s="2107" t="s">
        <v>6122</v>
      </c>
      <c r="C443" s="2116"/>
      <c r="D443" s="2109">
        <v>0</v>
      </c>
      <c r="E443" s="2110" t="s">
        <v>5704</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outlineLevel="1">
      <c r="A444" s="2097" t="str">
        <f t="shared" si="63"/>
        <v>Chụp cách điện kẹp quai</v>
      </c>
      <c r="B444" s="2107" t="s">
        <v>5700</v>
      </c>
      <c r="C444" s="2116"/>
      <c r="D444" s="2109">
        <v>0</v>
      </c>
      <c r="E444" s="2110" t="s">
        <v>4536</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outlineLevel="1">
      <c r="A445" s="2097" t="str">
        <f t="shared" si="63"/>
        <v>Lắp cáp đồng xuống thiết bị D ≤ 95mm2</v>
      </c>
      <c r="B445" s="2107" t="s">
        <v>1525</v>
      </c>
      <c r="C445" s="2116"/>
      <c r="D445" s="2109" t="s">
        <v>5567</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outlineLevel="1">
      <c r="A446" s="2097" t="e">
        <f t="shared" si="63"/>
        <v>#N/A</v>
      </c>
      <c r="B446" s="2119"/>
      <c r="C446" s="2131">
        <f>IF(G446&gt;0,C436+1,C436)</f>
        <v>0</v>
      </c>
      <c r="D446" s="2135"/>
      <c r="E446" s="2147" t="s">
        <v>6145</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4.4" outlineLevel="1">
      <c r="A447" s="2097" t="e">
        <f t="shared" si="63"/>
        <v>#N/A</v>
      </c>
      <c r="B447" s="2119"/>
      <c r="C447" s="2131"/>
      <c r="D447" s="2135"/>
      <c r="E447" s="2137" t="s">
        <v>6125</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outlineLevel="1">
      <c r="A448" s="2097" t="str">
        <f t="shared" si="63"/>
        <v>Cáp đồng bọc CV120</v>
      </c>
      <c r="B448" s="2119" t="s">
        <v>32</v>
      </c>
      <c r="C448" s="2131"/>
      <c r="D448" s="2109">
        <v>0</v>
      </c>
      <c r="E448" s="2110" t="s">
        <v>6314</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outlineLevel="1">
      <c r="A449" s="2097" t="str">
        <f t="shared" si="63"/>
        <v>Cáp đồng bọc CV25</v>
      </c>
      <c r="B449" s="2119" t="s">
        <v>1526</v>
      </c>
      <c r="C449" s="2131"/>
      <c r="D449" s="2109">
        <v>0</v>
      </c>
      <c r="E449" s="2110" t="s">
        <v>6315</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outlineLevel="1">
      <c r="A450" s="2097" t="str">
        <f t="shared" si="63"/>
        <v xml:space="preserve">Cáp CVV 4x4mm2  </v>
      </c>
      <c r="B450" s="2119" t="s">
        <v>4516</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outlineLevel="1">
      <c r="A451" s="2097" t="str">
        <f t="shared" si="63"/>
        <v>Cáp đồng bọc CV120</v>
      </c>
      <c r="B451" s="2119" t="s">
        <v>32</v>
      </c>
      <c r="C451" s="2116"/>
      <c r="D451" s="2109">
        <v>0</v>
      </c>
      <c r="E451" s="2110" t="s">
        <v>6316</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outlineLevel="1">
      <c r="A453" s="2097" t="str">
        <f t="shared" si="63"/>
        <v>Băng keo cách điện</v>
      </c>
      <c r="B453" s="2119" t="s">
        <v>672</v>
      </c>
      <c r="C453" s="2116"/>
      <c r="D453" s="2109">
        <v>0</v>
      </c>
      <c r="E453" s="2110" t="s">
        <v>5797</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outlineLevel="1">
      <c r="A454" s="2097" t="str">
        <f t="shared" si="63"/>
        <v>Đầu cosse ép Cu 120mm2</v>
      </c>
      <c r="B454" s="2119" t="s">
        <v>1305</v>
      </c>
      <c r="C454" s="2116"/>
      <c r="D454" s="2109" t="s">
        <v>5724</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outlineLevel="1">
      <c r="A455" s="2097" t="str">
        <f t="shared" si="63"/>
        <v>Đầu cosse ép Cu 25mm2</v>
      </c>
      <c r="B455" s="2119" t="s">
        <v>1073</v>
      </c>
      <c r="C455" s="2116"/>
      <c r="D455" s="2109" t="s">
        <v>5720</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outlineLevel="1">
      <c r="A457" s="2097" t="str">
        <f t="shared" si="63"/>
        <v>Chụp đầu cosse  25mm2</v>
      </c>
      <c r="B457" s="2119" t="s">
        <v>6146</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outlineLevel="1">
      <c r="A459" s="2097" t="str">
        <f t="shared" si="63"/>
        <v>Cổ dê kẹp ống PVC Ø 114</v>
      </c>
      <c r="B459" s="2122" t="s">
        <v>1862</v>
      </c>
      <c r="C459" s="2116"/>
      <c r="D459" s="2109">
        <v>0</v>
      </c>
      <c r="E459" s="2110" t="s">
        <v>5254</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outlineLevel="1">
      <c r="A461" s="2097" t="str">
        <f t="shared" si="63"/>
        <v>Lắp cổ dê</v>
      </c>
      <c r="B461" s="2122" t="s">
        <v>1131</v>
      </c>
      <c r="C461" s="2116"/>
      <c r="D461" s="2109" t="s">
        <v>5268</v>
      </c>
      <c r="E461" s="2110" t="s">
        <v>5466</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outlineLevel="1">
      <c r="A462" s="2097" t="str">
        <f t="shared" si="63"/>
        <v>Co  90 độ PVC 90</v>
      </c>
      <c r="B462" s="2119" t="s">
        <v>69</v>
      </c>
      <c r="C462" s="2116"/>
      <c r="D462" s="2109">
        <v>0</v>
      </c>
      <c r="E462" s="2110" t="s">
        <v>5793</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outlineLevel="1">
      <c r="A463" s="2097" t="str">
        <f t="shared" si="63"/>
        <v>Nối ống PVC 114</v>
      </c>
      <c r="B463" s="2119" t="s">
        <v>688</v>
      </c>
      <c r="C463" s="2116"/>
      <c r="D463" s="2109">
        <v>0</v>
      </c>
      <c r="E463" s="2110" t="s">
        <v>4449</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outlineLevel="1">
      <c r="A467" s="2097" t="str">
        <f t="shared" si="63"/>
        <v>Keo silicon bít miệng ống</v>
      </c>
      <c r="B467" s="2119" t="s">
        <v>489</v>
      </c>
      <c r="C467" s="2116"/>
      <c r="D467" s="2109">
        <v>0</v>
      </c>
      <c r="E467" s="2110" t="s">
        <v>3566</v>
      </c>
      <c r="F467" s="2109" t="s">
        <v>5802</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outlineLevel="1">
      <c r="A468" s="2097" t="str">
        <f t="shared" si="63"/>
        <v>Băng keo cách điện</v>
      </c>
      <c r="B468" s="2122" t="s">
        <v>672</v>
      </c>
      <c r="C468" s="2116"/>
      <c r="D468" s="2139"/>
      <c r="E468" s="2110" t="s">
        <v>5797</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outlineLevel="1">
      <c r="A469" s="2097" t="str">
        <f t="shared" si="63"/>
        <v>Lắp ống nhựa PVC D90</v>
      </c>
      <c r="B469" s="2119" t="s">
        <v>2182</v>
      </c>
      <c r="C469" s="2116"/>
      <c r="D469" s="2109" t="s">
        <v>5543</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outlineLevel="1">
      <c r="A470" s="2097" t="str">
        <f t="shared" si="63"/>
        <v>Lắp cáp đồng xuống thiết bị D ≤ 150mm2</v>
      </c>
      <c r="B470" s="2122" t="s">
        <v>2006</v>
      </c>
      <c r="C470" s="2116"/>
      <c r="D470" s="2109" t="s">
        <v>5568</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outlineLevel="1">
      <c r="A471" s="2097" t="str">
        <f t="shared" si="63"/>
        <v>Bảng tên trạm, bảng báo nguy hiểm + đinh vít</v>
      </c>
      <c r="B471" s="2119" t="s">
        <v>289</v>
      </c>
      <c r="C471" s="2149">
        <f>IF(G471&gt;0,C446+1,C446)</f>
        <v>0</v>
      </c>
      <c r="D471" s="2150"/>
      <c r="E471" s="2110" t="s">
        <v>5708</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outlineLevel="1">
      <c r="A472" s="2097" t="e">
        <f t="shared" si="63"/>
        <v>#N/A</v>
      </c>
      <c r="B472" s="2119"/>
      <c r="C472" s="2154"/>
      <c r="D472" s="2155"/>
      <c r="E472" s="2128"/>
      <c r="F472" s="2611"/>
      <c r="G472" s="2611"/>
      <c r="H472" s="2611"/>
      <c r="I472" s="2611"/>
      <c r="J472" s="2647" t="s">
        <v>6123</v>
      </c>
      <c r="K472" s="2647"/>
      <c r="L472" s="2156">
        <f>SUM(L392:L471)</f>
        <v>0</v>
      </c>
      <c r="M472" s="2156"/>
      <c r="N472" s="2156">
        <f>SUM(N392:N471)</f>
        <v>0</v>
      </c>
      <c r="O472" s="2156">
        <f>SUM(O392:O471)</f>
        <v>0</v>
      </c>
      <c r="P472" s="2159"/>
    </row>
    <row r="473" spans="1:16" s="2094" customFormat="1" ht="13.95" customHeight="1">
      <c r="A473" s="2138" t="str">
        <f>IF(G478&lt;&gt;0,1,"")</f>
        <v/>
      </c>
      <c r="B473" s="2119"/>
      <c r="C473" s="2612"/>
      <c r="D473" s="2616"/>
      <c r="E473" s="2178"/>
    </row>
    <row r="474" spans="1:16" s="2094" customFormat="1"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outlineLevel="1">
      <c r="A475" s="2097" t="e">
        <f t="shared" si="67"/>
        <v>#N/A</v>
      </c>
      <c r="B475" s="2119" t="s">
        <v>6104</v>
      </c>
      <c r="C475" s="2637" t="s">
        <v>1708</v>
      </c>
      <c r="D475" s="2638" t="s">
        <v>2597</v>
      </c>
      <c r="E475" s="2640" t="s">
        <v>2598</v>
      </c>
      <c r="F475" s="2637" t="s">
        <v>2593</v>
      </c>
      <c r="G475" s="2098" t="s">
        <v>6105</v>
      </c>
      <c r="H475" s="2101" t="s">
        <v>6106</v>
      </c>
      <c r="I475" s="2608"/>
      <c r="J475" s="2608"/>
      <c r="K475" s="2609"/>
      <c r="L475" s="2101" t="s">
        <v>6107</v>
      </c>
      <c r="M475" s="2608"/>
      <c r="N475" s="2608"/>
      <c r="O475" s="2609"/>
      <c r="P475" s="2637" t="s">
        <v>2599</v>
      </c>
    </row>
    <row r="476" spans="1:16" s="2094" customFormat="1" outlineLevel="1">
      <c r="A476" s="2097" t="e">
        <f t="shared" si="67"/>
        <v>#N/A</v>
      </c>
      <c r="B476" s="2119"/>
      <c r="C476" s="2637"/>
      <c r="D476" s="2639"/>
      <c r="E476" s="2641"/>
      <c r="F476" s="2637"/>
      <c r="G476" s="2100" t="s">
        <v>2286</v>
      </c>
      <c r="H476" s="2101" t="s">
        <v>6108</v>
      </c>
      <c r="I476" s="2101" t="s">
        <v>6109</v>
      </c>
      <c r="J476" s="2101" t="s">
        <v>6110</v>
      </c>
      <c r="K476" s="2101" t="s">
        <v>6111</v>
      </c>
      <c r="L476" s="2101" t="s">
        <v>6108</v>
      </c>
      <c r="M476" s="2101" t="s">
        <v>6109</v>
      </c>
      <c r="N476" s="2101" t="s">
        <v>6110</v>
      </c>
      <c r="O476" s="2101" t="s">
        <v>6111</v>
      </c>
      <c r="P476" s="2637"/>
    </row>
    <row r="477" spans="1:16" s="2094" customFormat="1"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outlineLevel="1">
      <c r="A478" s="2097" t="str">
        <f t="shared" si="67"/>
        <v>Máy biến áp 12,7/0,22-0,44kV  100kVA</v>
      </c>
      <c r="B478" s="2107" t="s">
        <v>503</v>
      </c>
      <c r="C478" s="2108">
        <f>IF(G478&gt;0,1,0)</f>
        <v>0</v>
      </c>
      <c r="D478" s="2109" t="s">
        <v>5582</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outlineLevel="1">
      <c r="A479" s="2097" t="str">
        <f t="shared" si="67"/>
        <v>FCO 24kV - 100A</v>
      </c>
      <c r="B479" s="2107" t="str">
        <f>"FCO100-"&amp;$F$8</f>
        <v>FCO100-22</v>
      </c>
      <c r="C479" s="2108">
        <f t="shared" ref="C479:C486" si="72">IF(G479&gt;0,C478+1,C478)</f>
        <v>0</v>
      </c>
      <c r="D479" s="2109" t="s">
        <v>5594</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outlineLevel="1">
      <c r="A481" s="2097" t="str">
        <f t="shared" si="67"/>
        <v>Chống sét van LA-18KV-10KA</v>
      </c>
      <c r="B481" s="2120" t="str">
        <f>"LA"&amp;$F$6</f>
        <v>LA18</v>
      </c>
      <c r="C481" s="2108">
        <f t="shared" si="72"/>
        <v>0</v>
      </c>
      <c r="D481" s="2109" t="s">
        <v>5598</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outlineLevel="1">
      <c r="A483" s="2097" t="str">
        <f t="shared" si="67"/>
        <v xml:space="preserve">MCCB 3 cực 600V -250A - 36KA </v>
      </c>
      <c r="B483" s="2148" t="s">
        <v>710</v>
      </c>
      <c r="C483" s="2108">
        <f t="shared" si="72"/>
        <v>0</v>
      </c>
      <c r="D483" s="2109">
        <v>0</v>
      </c>
      <c r="E483" s="2110" t="s">
        <v>5678</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outlineLevel="1">
      <c r="A487" s="2097" t="e">
        <f t="shared" si="67"/>
        <v>#N/A</v>
      </c>
      <c r="B487" s="2119"/>
      <c r="C487" s="2124"/>
      <c r="D487" s="2125"/>
      <c r="E487" s="2106"/>
      <c r="F487" s="2124"/>
      <c r="G487" s="2181"/>
      <c r="H487" s="2124"/>
      <c r="I487" s="2124"/>
      <c r="J487" s="2106" t="s">
        <v>6113</v>
      </c>
      <c r="K487" s="2124"/>
      <c r="L487" s="2106">
        <f>SUM(L478:L486)</f>
        <v>0</v>
      </c>
      <c r="M487" s="2106"/>
      <c r="N487" s="2106">
        <f>SUM(N478:N486)</f>
        <v>0</v>
      </c>
      <c r="O487" s="2106">
        <f>SUM(O478:O486)</f>
        <v>0</v>
      </c>
      <c r="P487" s="2159"/>
    </row>
    <row r="488" spans="1:18" s="2094" customFormat="1"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outlineLevel="1">
      <c r="A490" s="2097" t="e">
        <f t="shared" si="67"/>
        <v>#N/A</v>
      </c>
      <c r="B490" s="2119"/>
      <c r="C490" s="2134">
        <f>IF(G490&gt;0,C489+1,C489)</f>
        <v>0</v>
      </c>
      <c r="D490" s="2135"/>
      <c r="E490" s="2136" t="s">
        <v>6130</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4.4" outlineLevel="1">
      <c r="A491" s="2097" t="e">
        <f t="shared" si="67"/>
        <v>#N/A</v>
      </c>
      <c r="B491" s="2119"/>
      <c r="C491" s="2131"/>
      <c r="D491" s="2135"/>
      <c r="E491" s="2137" t="s">
        <v>6125</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4.4" outlineLevel="1">
      <c r="A496" s="2097" t="e">
        <f t="shared" si="67"/>
        <v>#N/A</v>
      </c>
      <c r="B496" s="2119"/>
      <c r="C496" s="2131"/>
      <c r="D496" s="2135"/>
      <c r="E496" s="2137" t="s">
        <v>6125</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outlineLevel="1">
      <c r="A497" s="2097" t="str">
        <f t="shared" si="67"/>
        <v>Đà cản BTCT 1,2m</v>
      </c>
      <c r="B497" s="2122" t="s">
        <v>636</v>
      </c>
      <c r="C497" s="2116"/>
      <c r="D497" s="2109" t="s">
        <v>5043</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outlineLevel="1">
      <c r="A498" s="2097" t="str">
        <f t="shared" si="67"/>
        <v>Boulon 22x650+ 2 long đền vuông D24-50x50x3/Zn</v>
      </c>
      <c r="B498" s="2122" t="s">
        <v>566</v>
      </c>
      <c r="C498" s="2116"/>
      <c r="D498" s="2109">
        <v>0</v>
      </c>
      <c r="E498" s="2110" t="s">
        <v>5068</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outlineLevel="1">
      <c r="A499" s="2097" t="str">
        <f t="shared" si="67"/>
        <v>Đào hố móng đất cấp 3 sâu &gt;1m</v>
      </c>
      <c r="B499" s="2122" t="s">
        <v>639</v>
      </c>
      <c r="C499" s="2116"/>
      <c r="D499" s="2109" t="s">
        <v>1747</v>
      </c>
      <c r="E499" s="2110" t="s">
        <v>5320</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outlineLevel="1">
      <c r="A500" s="2097" t="str">
        <f t="shared" si="67"/>
        <v>Đắp đất hố móng, độ chặt k=0,95</v>
      </c>
      <c r="B500" s="2122" t="s">
        <v>21</v>
      </c>
      <c r="C500" s="2116"/>
      <c r="D500" s="2109" t="s">
        <v>5321</v>
      </c>
      <c r="E500" s="2110" t="s">
        <v>5322</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4.4" outlineLevel="1">
      <c r="A502" s="2097" t="e">
        <f t="shared" si="67"/>
        <v>#N/A</v>
      </c>
      <c r="B502" s="2119"/>
      <c r="C502" s="2131"/>
      <c r="D502" s="2135"/>
      <c r="E502" s="2161" t="s">
        <v>6125</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outlineLevel="1">
      <c r="A503" s="2097" t="str">
        <f t="shared" si="67"/>
        <v>Đà Composite 110x80x5x800</v>
      </c>
      <c r="B503" s="2122" t="s">
        <v>5153</v>
      </c>
      <c r="C503" s="2116"/>
      <c r="D503" s="2109">
        <v>0</v>
      </c>
      <c r="E503" s="2110" t="s">
        <v>4862</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outlineLevel="1">
      <c r="A504" s="2097" t="str">
        <f t="shared" si="67"/>
        <v>Chống Composite 40x10x710</v>
      </c>
      <c r="B504" s="2122" t="s">
        <v>5157</v>
      </c>
      <c r="C504" s="2116"/>
      <c r="D504" s="2139"/>
      <c r="E504" s="2110" t="s">
        <v>5158</v>
      </c>
      <c r="F504" s="2109" t="s">
        <v>5156</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outlineLevel="1">
      <c r="A505" s="2097" t="str">
        <f t="shared" si="67"/>
        <v>Bass LL bắt FCO, LA</v>
      </c>
      <c r="B505" s="2122" t="s">
        <v>6147</v>
      </c>
      <c r="C505" s="2116"/>
      <c r="D505" s="2139"/>
      <c r="E505" s="2110" t="s">
        <v>5074</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outlineLevel="1">
      <c r="A508" s="2097" t="str">
        <f t="shared" si="77"/>
        <v>Lắp xà đỡ 15kg</v>
      </c>
      <c r="B508" s="2119" t="s">
        <v>5372</v>
      </c>
      <c r="C508" s="2116"/>
      <c r="D508" s="2139"/>
      <c r="E508" s="2110" t="s">
        <v>5373</v>
      </c>
      <c r="F508" s="2109" t="s">
        <v>2439</v>
      </c>
      <c r="G508" s="2180">
        <f>G506</f>
        <v>0</v>
      </c>
      <c r="H508" s="2112">
        <v>0</v>
      </c>
      <c r="I508" s="2117"/>
      <c r="J508" s="2142" t="s">
        <v>6317</v>
      </c>
      <c r="K508" s="2112">
        <v>0</v>
      </c>
      <c r="L508" s="2118">
        <f>H508*G508</f>
        <v>0</v>
      </c>
      <c r="M508" s="2118">
        <f>I508*G508</f>
        <v>0</v>
      </c>
      <c r="N508" s="2118">
        <v>0</v>
      </c>
      <c r="O508" s="2117">
        <f>K508*G508</f>
        <v>0</v>
      </c>
      <c r="P508" s="2144"/>
    </row>
    <row r="509" spans="1:18" s="2094" customFormat="1"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4.4" outlineLevel="1">
      <c r="A510" s="2097" t="e">
        <f t="shared" si="77"/>
        <v>#N/A</v>
      </c>
      <c r="B510" s="2119"/>
      <c r="C510" s="2116"/>
      <c r="D510" s="2139"/>
      <c r="E510" s="2161" t="s">
        <v>6125</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outlineLevel="1">
      <c r="A512" s="2097" t="str">
        <f t="shared" si="77"/>
        <v>Cọc tiếp đất Þ 16- 2,4m + kẹp cọc mạ đồng</v>
      </c>
      <c r="B512" s="2122" t="s">
        <v>1508</v>
      </c>
      <c r="C512" s="2116"/>
      <c r="D512" s="2109">
        <v>0</v>
      </c>
      <c r="E512" s="2110" t="s">
        <v>5159</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outlineLevel="1">
      <c r="A513" s="2097" t="str">
        <f t="shared" si="77"/>
        <v>Ông sắt tráng kẽm D21</v>
      </c>
      <c r="B513" s="2122" t="s">
        <v>5295</v>
      </c>
      <c r="C513" s="2116"/>
      <c r="D513" s="2109" t="s">
        <v>5296</v>
      </c>
      <c r="E513" s="2110" t="s">
        <v>5297</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outlineLevel="1">
      <c r="A514" s="2097" t="str">
        <f t="shared" si="77"/>
        <v>Cut PVC 21</v>
      </c>
      <c r="B514" s="2122" t="s">
        <v>6142</v>
      </c>
      <c r="C514" s="2116"/>
      <c r="D514" s="2109">
        <v>0</v>
      </c>
      <c r="E514" s="2110" t="s">
        <v>5792</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outlineLevel="1">
      <c r="A517" s="2097" t="str">
        <f t="shared" si="77"/>
        <v>Đầu cosse ép Cu 35mm2</v>
      </c>
      <c r="B517" s="2119" t="s">
        <v>377</v>
      </c>
      <c r="C517" s="2116"/>
      <c r="D517" s="2109" t="s">
        <v>5721</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outlineLevel="1">
      <c r="A519" s="2097" t="str">
        <f t="shared" si="77"/>
        <v>Đai thép Inox</v>
      </c>
      <c r="B519" s="2119" t="s">
        <v>5177</v>
      </c>
      <c r="C519" s="2116"/>
      <c r="D519" s="2109">
        <v>0</v>
      </c>
      <c r="E519" s="2110" t="s">
        <v>5178</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outlineLevel="1">
      <c r="A520" s="2097" t="str">
        <f t="shared" si="77"/>
        <v>Khóa đai Inox</v>
      </c>
      <c r="B520" s="2119" t="s">
        <v>5179</v>
      </c>
      <c r="C520" s="2116"/>
      <c r="D520" s="2109">
        <v>0</v>
      </c>
      <c r="E520" s="2110" t="s">
        <v>5180</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outlineLevel="1">
      <c r="A521" s="2097" t="str">
        <f t="shared" si="77"/>
        <v>Cổ dê kẹp ống PVC  21</v>
      </c>
      <c r="B521" s="2122" t="s">
        <v>525</v>
      </c>
      <c r="C521" s="2116"/>
      <c r="D521" s="2109">
        <v>0</v>
      </c>
      <c r="E521" s="2110" t="s">
        <v>5248</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outlineLevel="1">
      <c r="A522" s="2097" t="str">
        <f t="shared" si="77"/>
        <v>Giếng tiếp địa khoan đất</v>
      </c>
      <c r="B522" s="2119" t="s">
        <v>6143</v>
      </c>
      <c r="C522" s="2116"/>
      <c r="D522" s="2109">
        <v>0</v>
      </c>
      <c r="E522" s="2110" t="s">
        <v>5709</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outlineLevel="1">
      <c r="A523" s="2097" t="str">
        <f t="shared" si="77"/>
        <v>Kéo dây tiếp địa trong TBA</v>
      </c>
      <c r="B523" s="2119" t="s">
        <v>2183</v>
      </c>
      <c r="C523" s="2116"/>
      <c r="D523" s="2109" t="s">
        <v>5342</v>
      </c>
      <c r="E523" s="2110" t="s">
        <v>5343</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outlineLevel="1">
      <c r="A524" s="2097" t="str">
        <f t="shared" si="77"/>
        <v>Đóng cọc tiếp địa trong TBA</v>
      </c>
      <c r="B524" s="2122" t="s">
        <v>902</v>
      </c>
      <c r="C524" s="2116"/>
      <c r="D524" s="2109" t="s">
        <v>5347</v>
      </c>
      <c r="E524" s="2110" t="s">
        <v>5348</v>
      </c>
      <c r="F524" s="2109" t="s">
        <v>2278</v>
      </c>
      <c r="G524" s="2180">
        <f>G512</f>
        <v>0</v>
      </c>
      <c r="H524" s="2112">
        <v>0</v>
      </c>
      <c r="I524" s="2117"/>
      <c r="J524" s="2112" t="s">
        <v>6307</v>
      </c>
      <c r="K524" s="2112">
        <v>1573.075</v>
      </c>
      <c r="L524" s="2118">
        <f t="shared" si="73"/>
        <v>0</v>
      </c>
      <c r="M524" s="2118">
        <f t="shared" si="74"/>
        <v>0</v>
      </c>
      <c r="N524" s="2112">
        <v>0</v>
      </c>
      <c r="O524" s="2117">
        <f t="shared" si="76"/>
        <v>0</v>
      </c>
      <c r="P524" s="2144"/>
    </row>
    <row r="525" spans="1:16" s="2094" customFormat="1" outlineLevel="1">
      <c r="A525" s="2097" t="str">
        <f t="shared" si="77"/>
        <v>Đào rãnh tiếp địa đất cấp 3</v>
      </c>
      <c r="B525" s="2119" t="s">
        <v>1055</v>
      </c>
      <c r="C525" s="2116"/>
      <c r="D525" s="2109" t="s">
        <v>5332</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outlineLevel="1">
      <c r="A526" s="2097" t="str">
        <f t="shared" si="77"/>
        <v>Đắp đất rãnh tiếp độ chặt k=0,85</v>
      </c>
      <c r="B526" s="2122" t="s">
        <v>1056</v>
      </c>
      <c r="C526" s="2116"/>
      <c r="D526" s="2109" t="s">
        <v>5321</v>
      </c>
      <c r="E526" s="2110" t="s">
        <v>5333</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4.4" outlineLevel="1">
      <c r="A528" s="2097" t="e">
        <f t="shared" si="77"/>
        <v>#N/A</v>
      </c>
      <c r="B528" s="2119"/>
      <c r="C528" s="2131"/>
      <c r="D528" s="2135"/>
      <c r="E528" s="2161" t="s">
        <v>6125</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outlineLevel="1">
      <c r="A529" s="2097" t="str">
        <f t="shared" si="77"/>
        <v>Tủ MCCB trạm treo 1 pha</v>
      </c>
      <c r="B529" s="2170" t="s">
        <v>5650</v>
      </c>
      <c r="C529" s="2116"/>
      <c r="D529" s="2109" t="s">
        <v>5651</v>
      </c>
      <c r="E529" s="2110" t="s">
        <v>5652</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outlineLevel="1">
      <c r="A530" s="2097" t="str">
        <f t="shared" si="77"/>
        <v>Cổ dê CDĐKĐT( bắt thùng điện kế)</v>
      </c>
      <c r="B530" s="2119" t="s">
        <v>319</v>
      </c>
      <c r="C530" s="2116"/>
      <c r="D530" s="2109">
        <v>0</v>
      </c>
      <c r="E530" s="2110" t="s">
        <v>5265</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outlineLevel="1">
      <c r="A531" s="2097" t="str">
        <f t="shared" si="77"/>
        <v xml:space="preserve">Bakelit 550x450 dầy 10mm </v>
      </c>
      <c r="B531" s="2119" t="s">
        <v>880</v>
      </c>
      <c r="C531" s="2116"/>
      <c r="D531" s="2109">
        <v>0</v>
      </c>
      <c r="E531" s="2110" t="s">
        <v>5795</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outlineLevel="1">
      <c r="A532" s="2097" t="e">
        <f t="shared" si="77"/>
        <v>#N/A</v>
      </c>
      <c r="B532" s="2119"/>
      <c r="C532" s="2131">
        <f>IF(G532&gt;0,C527+1,C527)</f>
        <v>0</v>
      </c>
      <c r="D532" s="2135"/>
      <c r="E532" s="2160" t="s">
        <v>6131</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4.4" outlineLevel="1">
      <c r="A533" s="2097" t="e">
        <f t="shared" si="77"/>
        <v>#N/A</v>
      </c>
      <c r="B533" s="2119"/>
      <c r="C533" s="2131"/>
      <c r="D533" s="2135"/>
      <c r="E533" s="2161" t="s">
        <v>6125</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outlineLevel="1">
      <c r="A534" s="2097" t="str">
        <f t="shared" si="77"/>
        <v>Cáp 24KV C/XLPE/PVC 25mm2</v>
      </c>
      <c r="B534" s="2122" t="s">
        <v>697</v>
      </c>
      <c r="C534" s="2116"/>
      <c r="D534" s="2109">
        <v>0</v>
      </c>
      <c r="E534" s="2110" t="s">
        <v>5083</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outlineLevel="1">
      <c r="A536" s="2097" t="str">
        <f t="shared" si="77"/>
        <v>Kẹp hotline 2/0</v>
      </c>
      <c r="B536" s="2107" t="s">
        <v>1477</v>
      </c>
      <c r="C536" s="2116"/>
      <c r="D536" s="2109">
        <v>0</v>
      </c>
      <c r="E536" s="2110" t="s">
        <v>4333</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outlineLevel="1">
      <c r="A537" s="2097" t="str">
        <f t="shared" si="77"/>
        <v>Nắp che đầu cực FCO</v>
      </c>
      <c r="B537" s="2107" t="s">
        <v>6117</v>
      </c>
      <c r="C537" s="2116"/>
      <c r="D537" s="2109">
        <v>0</v>
      </c>
      <c r="E537" s="2183" t="s">
        <v>5696</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outlineLevel="1">
      <c r="A538" s="2097" t="str">
        <f t="shared" ref="A538:A561" si="79">VLOOKUP(B538,DonGia,3,0)</f>
        <v>Nắp che đầu cực LA</v>
      </c>
      <c r="B538" s="2107" t="s">
        <v>5701</v>
      </c>
      <c r="C538" s="2116"/>
      <c r="D538" s="2109">
        <v>0</v>
      </c>
      <c r="E538" s="2183" t="s">
        <v>5702</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outlineLevel="1">
      <c r="A539" s="2097" t="str">
        <f t="shared" si="79"/>
        <v>Nắp che đầu sứ MBA</v>
      </c>
      <c r="B539" s="2107" t="s">
        <v>5703</v>
      </c>
      <c r="C539" s="2116"/>
      <c r="D539" s="2109">
        <v>0</v>
      </c>
      <c r="E539" s="2183" t="s">
        <v>5704</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outlineLevel="1">
      <c r="A540" s="2097" t="str">
        <f t="shared" si="79"/>
        <v>Chụp cách điện kẹp quai</v>
      </c>
      <c r="B540" s="2107" t="s">
        <v>6148</v>
      </c>
      <c r="C540" s="2116"/>
      <c r="D540" s="2109">
        <v>0</v>
      </c>
      <c r="E540" s="2183" t="s">
        <v>4536</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outlineLevel="1">
      <c r="A541" s="2097" t="str">
        <f t="shared" si="79"/>
        <v>Lắp cáp đồng xuống thiết bị D ≤ 95mm2</v>
      </c>
      <c r="B541" s="2107" t="s">
        <v>1525</v>
      </c>
      <c r="C541" s="2116"/>
      <c r="D541" s="2109" t="s">
        <v>5567</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outlineLevel="1">
      <c r="A542" s="2097" t="e">
        <f t="shared" si="79"/>
        <v>#N/A</v>
      </c>
      <c r="B542" s="2119"/>
      <c r="C542" s="2131">
        <f>IF(G542&gt;0,C532+1,C532)</f>
        <v>0</v>
      </c>
      <c r="D542" s="2135"/>
      <c r="E542" s="2147" t="s">
        <v>6149</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4.4" outlineLevel="1">
      <c r="A543" s="2097" t="e">
        <f t="shared" si="79"/>
        <v>#N/A</v>
      </c>
      <c r="B543" s="2119"/>
      <c r="C543" s="2131"/>
      <c r="D543" s="2135"/>
      <c r="E543" s="2137" t="s">
        <v>6125</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outlineLevel="1">
      <c r="A544" s="2097" t="str">
        <f t="shared" si="79"/>
        <v>Cáp đồng bọc CV150</v>
      </c>
      <c r="B544" s="2119" t="s">
        <v>6150</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outlineLevel="1">
      <c r="A546" s="2097" t="str">
        <f t="shared" si="79"/>
        <v xml:space="preserve">Cáp CVV 4x4mm2  </v>
      </c>
      <c r="B546" s="2119" t="s">
        <v>4516</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outlineLevel="1">
      <c r="A547" s="2097" t="str">
        <f t="shared" si="79"/>
        <v>Đầu cosse ép Cu 150mm2</v>
      </c>
      <c r="B547" s="2119" t="s">
        <v>0</v>
      </c>
      <c r="C547" s="2116"/>
      <c r="D547" s="2109" t="s">
        <v>5725</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outlineLevel="1">
      <c r="A548" s="2097" t="str">
        <f t="shared" si="79"/>
        <v>Đầu cosse ép Cu 120mm2</v>
      </c>
      <c r="B548" s="2119" t="str">
        <f>IF(G542=1,"Cos"&amp;RIGHT(B$545,3),"Cos"&amp;RIGHT(B$545,3))</f>
        <v>Cos120</v>
      </c>
      <c r="C548" s="2116"/>
      <c r="D548" s="2109" t="s">
        <v>5724</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outlineLevel="1">
      <c r="A552" s="2097" t="str">
        <f t="shared" si="79"/>
        <v>Cổ dê kẹp ống PVC Ø 90</v>
      </c>
      <c r="B552" s="2122" t="s">
        <v>276</v>
      </c>
      <c r="C552" s="2116"/>
      <c r="D552" s="2109">
        <v>0</v>
      </c>
      <c r="E552" s="2110" t="s">
        <v>5253</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outlineLevel="1">
      <c r="A553" s="2097" t="str">
        <f t="shared" si="79"/>
        <v>Co  90 độ PVC 90</v>
      </c>
      <c r="B553" s="2119" t="s">
        <v>69</v>
      </c>
      <c r="C553" s="2116"/>
      <c r="D553" s="2109">
        <v>0</v>
      </c>
      <c r="E553" s="2110" t="s">
        <v>5793</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outlineLevel="1">
      <c r="A556" s="2097" t="str">
        <f t="shared" si="79"/>
        <v>Keo silicon bít miệng ống</v>
      </c>
      <c r="B556" s="2119" t="s">
        <v>489</v>
      </c>
      <c r="C556" s="2116"/>
      <c r="D556" s="2109">
        <v>0</v>
      </c>
      <c r="E556" s="2110" t="s">
        <v>3566</v>
      </c>
      <c r="F556" s="2109" t="s">
        <v>5802</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outlineLevel="1">
      <c r="A557" s="2097" t="str">
        <f t="shared" si="79"/>
        <v>Băng keo cách điện</v>
      </c>
      <c r="B557" s="2122" t="s">
        <v>672</v>
      </c>
      <c r="C557" s="2116"/>
      <c r="D557" s="2139"/>
      <c r="E557" s="2110" t="s">
        <v>5797</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outlineLevel="1">
      <c r="A558" s="2097" t="str">
        <f t="shared" si="79"/>
        <v>Lắp ống nhựa PVC D90</v>
      </c>
      <c r="B558" s="2119" t="s">
        <v>2182</v>
      </c>
      <c r="C558" s="2116"/>
      <c r="D558" s="2109" t="s">
        <v>5543</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outlineLevel="1">
      <c r="A559" s="2097" t="str">
        <f t="shared" si="79"/>
        <v>Lắp cáp đồng xuống thiết bị D ≤ 150mm2</v>
      </c>
      <c r="B559" s="2122" t="s">
        <v>2006</v>
      </c>
      <c r="C559" s="2116"/>
      <c r="D559" s="2109" t="s">
        <v>5568</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outlineLevel="1">
      <c r="A560" s="2097" t="str">
        <f t="shared" si="79"/>
        <v>Bảng tên trạm, bảng báo nguy hiểm + đinh vít</v>
      </c>
      <c r="B560" s="2119" t="s">
        <v>289</v>
      </c>
      <c r="C560" s="2149">
        <f>IF(G560&gt;0,C542+1,C542)</f>
        <v>0</v>
      </c>
      <c r="D560" s="2150"/>
      <c r="E560" s="2110" t="s">
        <v>5708</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outlineLevel="1">
      <c r="A561" s="2097" t="e">
        <f t="shared" si="79"/>
        <v>#N/A</v>
      </c>
      <c r="B561" s="2119"/>
      <c r="C561" s="2154"/>
      <c r="D561" s="2155"/>
      <c r="E561" s="2128"/>
      <c r="F561" s="2611"/>
      <c r="G561" s="2611"/>
      <c r="H561" s="2611"/>
      <c r="I561" s="2611"/>
      <c r="J561" s="2647" t="s">
        <v>6123</v>
      </c>
      <c r="K561" s="2647"/>
      <c r="L561" s="2156">
        <f>SUM(L489:L560)</f>
        <v>0</v>
      </c>
      <c r="M561" s="2156"/>
      <c r="N561" s="2156">
        <f>SUM(N489:N560)</f>
        <v>0</v>
      </c>
      <c r="O561" s="2156">
        <f>SUM(O489:O560)</f>
        <v>0</v>
      </c>
      <c r="P561" s="2159"/>
    </row>
    <row r="562" spans="1:16" s="2094" customFormat="1" ht="13.95" customHeight="1">
      <c r="A562" s="2138" t="str">
        <f>IF(G567&lt;&gt;0,1,"")</f>
        <v/>
      </c>
      <c r="B562" s="2119"/>
      <c r="C562" s="2612"/>
      <c r="D562" s="2616"/>
      <c r="E562" s="2178"/>
    </row>
    <row r="563" spans="1:16" s="2094" customFormat="1"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outlineLevel="1">
      <c r="A564" s="2097" t="e">
        <f t="shared" si="83"/>
        <v>#N/A</v>
      </c>
      <c r="B564" s="2119" t="s">
        <v>6104</v>
      </c>
      <c r="C564" s="2637" t="s">
        <v>1708</v>
      </c>
      <c r="D564" s="2638" t="s">
        <v>2597</v>
      </c>
      <c r="E564" s="2640" t="s">
        <v>2598</v>
      </c>
      <c r="F564" s="2637" t="s">
        <v>2593</v>
      </c>
      <c r="G564" s="2098" t="s">
        <v>6105</v>
      </c>
      <c r="H564" s="2101" t="s">
        <v>6106</v>
      </c>
      <c r="I564" s="2608"/>
      <c r="J564" s="2608"/>
      <c r="K564" s="2609"/>
      <c r="L564" s="2101" t="s">
        <v>6107</v>
      </c>
      <c r="M564" s="2608"/>
      <c r="N564" s="2608"/>
      <c r="O564" s="2609"/>
      <c r="P564" s="2637" t="s">
        <v>2599</v>
      </c>
    </row>
    <row r="565" spans="1:16" s="2094" customFormat="1" outlineLevel="1">
      <c r="A565" s="2097" t="e">
        <f t="shared" si="83"/>
        <v>#N/A</v>
      </c>
      <c r="B565" s="2119"/>
      <c r="C565" s="2637"/>
      <c r="D565" s="2639"/>
      <c r="E565" s="2641"/>
      <c r="F565" s="2637"/>
      <c r="G565" s="2100" t="s">
        <v>2286</v>
      </c>
      <c r="H565" s="2101" t="s">
        <v>6108</v>
      </c>
      <c r="I565" s="2101" t="s">
        <v>6109</v>
      </c>
      <c r="J565" s="2101" t="s">
        <v>6110</v>
      </c>
      <c r="K565" s="2101" t="s">
        <v>6111</v>
      </c>
      <c r="L565" s="2101" t="s">
        <v>6108</v>
      </c>
      <c r="M565" s="2101" t="s">
        <v>6109</v>
      </c>
      <c r="N565" s="2101" t="s">
        <v>6110</v>
      </c>
      <c r="O565" s="2101" t="s">
        <v>6111</v>
      </c>
      <c r="P565" s="2637"/>
    </row>
    <row r="566" spans="1:16" s="2094" customFormat="1"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outlineLevel="1">
      <c r="A567" s="2097" t="str">
        <f t="shared" si="83"/>
        <v>Máy biến áp 12,7/0,22-0,44kV  15kVA</v>
      </c>
      <c r="B567" s="2107" t="str">
        <f>IF($F$8=22,"TR151","TR15")</f>
        <v>TR151</v>
      </c>
      <c r="C567" s="2108">
        <f>IF(G567&gt;0,1,0)</f>
        <v>0</v>
      </c>
      <c r="D567" s="2109" t="s">
        <v>5579</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outlineLevel="1">
      <c r="A568" s="2097" t="str">
        <f t="shared" si="83"/>
        <v>FCO 24kV - 100A</v>
      </c>
      <c r="B568" s="2107" t="str">
        <f>"FCO100-"&amp;$F$8</f>
        <v>FCO100-22</v>
      </c>
      <c r="C568" s="2116">
        <f>IF(G568&gt;0,C567+1,C567)</f>
        <v>0</v>
      </c>
      <c r="D568" s="2109" t="s">
        <v>5594</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outlineLevel="1">
      <c r="A570" s="2097" t="str">
        <f t="shared" si="83"/>
        <v>Chống sét van LA-18KV-10KA</v>
      </c>
      <c r="B570" s="2119" t="str">
        <f>"LA"&amp;$F$6</f>
        <v>LA18</v>
      </c>
      <c r="C570" s="2116">
        <f>IF(G570&gt;0,C569+1,C569)</f>
        <v>0</v>
      </c>
      <c r="D570" s="2109" t="s">
        <v>5598</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outlineLevel="1">
      <c r="A571" s="2097" t="str">
        <f t="shared" si="83"/>
        <v>MCCB 3 cực 400V-75A - 10KA</v>
      </c>
      <c r="B571" s="2121" t="s">
        <v>81</v>
      </c>
      <c r="C571" s="2116">
        <f>IF(G571&gt;0,C570+1,C570)</f>
        <v>0</v>
      </c>
      <c r="D571" s="2109">
        <v>0</v>
      </c>
      <c r="E571" s="2110" t="s">
        <v>5675</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outlineLevel="1">
      <c r="A573" s="2097" t="e">
        <f t="shared" si="83"/>
        <v>#N/A</v>
      </c>
      <c r="B573" s="2119"/>
      <c r="C573" s="2124"/>
      <c r="D573" s="2185"/>
      <c r="E573" s="2106"/>
      <c r="F573" s="2124"/>
      <c r="G573" s="2124"/>
      <c r="H573" s="2124"/>
      <c r="I573" s="2124"/>
      <c r="J573" s="2106" t="s">
        <v>6113</v>
      </c>
      <c r="K573" s="2124"/>
      <c r="L573" s="2106">
        <f>SUM(L567:L572)</f>
        <v>0</v>
      </c>
      <c r="M573" s="2106"/>
      <c r="N573" s="2106">
        <f>SUM(N567:N572)</f>
        <v>0</v>
      </c>
      <c r="O573" s="2106">
        <f>SUM(O567:O572)</f>
        <v>0</v>
      </c>
      <c r="P573" s="2186"/>
    </row>
    <row r="574" spans="1:16" s="2094" customFormat="1"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4.4" outlineLevel="1">
      <c r="A576" s="2097" t="e">
        <f t="shared" si="83"/>
        <v>#N/A</v>
      </c>
      <c r="B576" s="2119"/>
      <c r="C576" s="2131"/>
      <c r="D576" s="2191"/>
      <c r="E576" s="2161" t="s">
        <v>6125</v>
      </c>
      <c r="F576" s="2116"/>
      <c r="G576" s="2116"/>
      <c r="H576" s="2192"/>
      <c r="I576" s="2192"/>
      <c r="J576" s="2192"/>
      <c r="K576" s="2192"/>
      <c r="L576" s="2192"/>
      <c r="M576" s="2192"/>
      <c r="N576" s="2192"/>
      <c r="O576" s="2193"/>
      <c r="P576" s="2144"/>
    </row>
    <row r="577" spans="1:18" s="2094" customFormat="1" outlineLevel="1">
      <c r="A577" s="2097" t="str">
        <f t="shared" si="83"/>
        <v>Giá chùm treo máy biến áp 3x15</v>
      </c>
      <c r="B577" s="2122" t="s">
        <v>1586</v>
      </c>
      <c r="C577" s="2131"/>
      <c r="D577" s="2109">
        <v>0</v>
      </c>
      <c r="E577" s="2110" t="s">
        <v>5710</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outlineLevel="1">
      <c r="A580" s="2097" t="e">
        <f t="shared" si="83"/>
        <v>#N/A</v>
      </c>
      <c r="B580" s="2119"/>
      <c r="C580" s="2134">
        <f>IF(G580&gt;0,C575+1,C575)</f>
        <v>0</v>
      </c>
      <c r="D580" s="2135"/>
      <c r="E580" s="2136" t="s">
        <v>6130</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4.4" outlineLevel="1">
      <c r="A581" s="2097" t="e">
        <f t="shared" si="83"/>
        <v>#N/A</v>
      </c>
      <c r="B581" s="2119"/>
      <c r="C581" s="2131"/>
      <c r="D581" s="2135"/>
      <c r="E581" s="2137" t="s">
        <v>6125</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4.4" outlineLevel="1">
      <c r="A586" s="2097" t="e">
        <f t="shared" si="83"/>
        <v>#N/A</v>
      </c>
      <c r="B586" s="2119"/>
      <c r="C586" s="2131"/>
      <c r="D586" s="2135"/>
      <c r="E586" s="2137" t="s">
        <v>6125</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outlineLevel="1">
      <c r="A587" s="2097" t="str">
        <f t="shared" si="83"/>
        <v>Đà cản BTCT 1,2m</v>
      </c>
      <c r="B587" s="2122" t="s">
        <v>230</v>
      </c>
      <c r="C587" s="2116"/>
      <c r="D587" s="2109" t="s">
        <v>5043</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outlineLevel="1">
      <c r="A588" s="2097" t="str">
        <f t="shared" si="83"/>
        <v>Boulon 22x650+ 2 long đền vuông D24-50x50x3/Zn</v>
      </c>
      <c r="B588" s="2122" t="s">
        <v>398</v>
      </c>
      <c r="C588" s="2116"/>
      <c r="D588" s="2109">
        <v>0</v>
      </c>
      <c r="E588" s="2110" t="s">
        <v>5068</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outlineLevel="1">
      <c r="A589" s="2097" t="str">
        <f t="shared" si="83"/>
        <v>Đào hố móng đất cấp 3 sâu &gt;1m</v>
      </c>
      <c r="B589" s="2122" t="s">
        <v>639</v>
      </c>
      <c r="C589" s="2116"/>
      <c r="D589" s="2109" t="s">
        <v>1747</v>
      </c>
      <c r="E589" s="2110" t="s">
        <v>5320</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outlineLevel="1">
      <c r="A590" s="2097" t="str">
        <f t="shared" si="83"/>
        <v>Đắp đất hố móng, độ chặt k=0,95</v>
      </c>
      <c r="B590" s="2122" t="s">
        <v>21</v>
      </c>
      <c r="C590" s="2116"/>
      <c r="D590" s="2109" t="s">
        <v>5321</v>
      </c>
      <c r="E590" s="2110" t="s">
        <v>5322</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outlineLevel="1">
      <c r="A591" s="2097" t="e">
        <f t="shared" si="83"/>
        <v>#N/A</v>
      </c>
      <c r="B591" s="2122" t="s">
        <v>6151</v>
      </c>
      <c r="C591" s="2131">
        <f>IF(G591&gt;0,C585+1,C585)</f>
        <v>0</v>
      </c>
      <c r="D591" s="2191"/>
      <c r="E591" s="2160" t="s">
        <v>6152</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outlineLevel="1">
      <c r="A592" s="2097" t="str">
        <f t="shared" si="83"/>
        <v>Đà Composite 110x80x5x2400</v>
      </c>
      <c r="B592" s="2122" t="s">
        <v>5147</v>
      </c>
      <c r="C592" s="2116"/>
      <c r="D592" s="2109">
        <v>0</v>
      </c>
      <c r="E592" s="2110" t="s">
        <v>5148</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outlineLevel="1">
      <c r="A593" s="2097" t="str">
        <f t="shared" si="83"/>
        <v>Chống Composite 40x10x920</v>
      </c>
      <c r="B593" s="2122" t="s">
        <v>5154</v>
      </c>
      <c r="C593" s="2116"/>
      <c r="D593" s="2109">
        <v>0</v>
      </c>
      <c r="E593" s="2110" t="s">
        <v>5155</v>
      </c>
      <c r="F593" s="2109" t="s">
        <v>5156</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outlineLevel="1">
      <c r="A594" s="2097" t="str">
        <f t="shared" si="83"/>
        <v>Bass LL bắt FCO, LA</v>
      </c>
      <c r="B594" s="2119" t="s">
        <v>488</v>
      </c>
      <c r="C594" s="2116"/>
      <c r="D594" s="2109">
        <v>0</v>
      </c>
      <c r="E594" s="2110" t="s">
        <v>5074</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outlineLevel="1">
      <c r="A598" s="2097" t="str">
        <f t="shared" si="92"/>
        <v>Lắp xà đỡ ≤ 50kg</v>
      </c>
      <c r="B598" s="2119" t="s">
        <v>516</v>
      </c>
      <c r="C598" s="2131"/>
      <c r="D598" s="2109" t="s">
        <v>5417</v>
      </c>
      <c r="E598" s="2110" t="s">
        <v>5418</v>
      </c>
      <c r="F598" s="2109" t="s">
        <v>2439</v>
      </c>
      <c r="G598" s="2116">
        <f>G591</f>
        <v>0</v>
      </c>
      <c r="H598" s="2112">
        <v>0</v>
      </c>
      <c r="I598" s="2123"/>
      <c r="J598" s="2142" t="s">
        <v>6318</v>
      </c>
      <c r="K598" s="2112">
        <v>0</v>
      </c>
      <c r="L598" s="2118">
        <f t="shared" si="90"/>
        <v>0</v>
      </c>
      <c r="M598" s="2118">
        <f t="shared" si="88"/>
        <v>0</v>
      </c>
      <c r="N598" s="2112">
        <v>0</v>
      </c>
      <c r="O598" s="2117">
        <f t="shared" si="89"/>
        <v>0</v>
      </c>
      <c r="P598" s="2144"/>
    </row>
    <row r="599" spans="1:18" s="2094" customFormat="1" outlineLevel="1">
      <c r="A599" s="2097" t="e">
        <f t="shared" si="92"/>
        <v>#N/A</v>
      </c>
      <c r="B599" s="2119"/>
      <c r="C599" s="2131">
        <f>IF(G599&gt;0,C585+1,C585)</f>
        <v>0</v>
      </c>
      <c r="D599" s="2191"/>
      <c r="E599" s="2160" t="s">
        <v>6153</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4.4" outlineLevel="1">
      <c r="A600" s="2097" t="e">
        <f t="shared" si="92"/>
        <v>#N/A</v>
      </c>
      <c r="B600" s="2119"/>
      <c r="C600" s="2131"/>
      <c r="D600" s="2191"/>
      <c r="E600" s="2161" t="s">
        <v>6125</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outlineLevel="1">
      <c r="A605" s="2097" t="str">
        <f t="shared" si="92"/>
        <v>Lắp xà đỡ ≤ 50kg</v>
      </c>
      <c r="B605" s="2119" t="s">
        <v>516</v>
      </c>
      <c r="C605" s="2131"/>
      <c r="D605" s="2109" t="s">
        <v>5417</v>
      </c>
      <c r="E605" s="2110" t="s">
        <v>5418</v>
      </c>
      <c r="F605" s="2109" t="s">
        <v>2439</v>
      </c>
      <c r="G605" s="2116">
        <f>G599</f>
        <v>0</v>
      </c>
      <c r="H605" s="2112">
        <v>0</v>
      </c>
      <c r="I605" s="2123"/>
      <c r="J605" s="2142" t="s">
        <v>6318</v>
      </c>
      <c r="K605" s="2112">
        <v>0</v>
      </c>
      <c r="L605" s="2118">
        <f>H605*G605</f>
        <v>0</v>
      </c>
      <c r="M605" s="2118">
        <f>I605*G605</f>
        <v>0</v>
      </c>
      <c r="N605" s="2112">
        <v>0</v>
      </c>
      <c r="O605" s="2117">
        <f>K605*G605</f>
        <v>0</v>
      </c>
      <c r="P605" s="2144"/>
    </row>
    <row r="606" spans="1:18" s="2094" customFormat="1"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4.4" outlineLevel="1">
      <c r="A607" s="2097" t="e">
        <f t="shared" si="92"/>
        <v>#N/A</v>
      </c>
      <c r="B607" s="2119"/>
      <c r="C607" s="2131"/>
      <c r="D607" s="2191"/>
      <c r="E607" s="2161" t="s">
        <v>6154</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outlineLevel="1">
      <c r="A609" s="2097" t="str">
        <f t="shared" si="92"/>
        <v>Cọc tiếp đất Þ 16- 2,4m + kẹp cọc mạ đồng</v>
      </c>
      <c r="B609" s="2122" t="s">
        <v>1508</v>
      </c>
      <c r="C609" s="2116"/>
      <c r="D609" s="2109">
        <v>0</v>
      </c>
      <c r="E609" s="2110" t="s">
        <v>5159</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outlineLevel="1">
      <c r="A614" s="2097" t="str">
        <f t="shared" si="92"/>
        <v>Cổ dê kẹp ống PVC  21</v>
      </c>
      <c r="B614" s="2122" t="s">
        <v>1592</v>
      </c>
      <c r="C614" s="2116"/>
      <c r="D614" s="2109">
        <v>0</v>
      </c>
      <c r="E614" s="2110" t="s">
        <v>5248</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outlineLevel="1">
      <c r="A615" s="2097" t="str">
        <f t="shared" si="92"/>
        <v>Lắp cổ dê</v>
      </c>
      <c r="B615" s="2122" t="s">
        <v>1130</v>
      </c>
      <c r="C615" s="2116"/>
      <c r="D615" s="2109" t="s">
        <v>5268</v>
      </c>
      <c r="E615" s="2110" t="s">
        <v>5466</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outlineLevel="1">
      <c r="A616" s="2097" t="str">
        <f t="shared" si="92"/>
        <v>Kéo dây tiếp địa trong TBA</v>
      </c>
      <c r="B616" s="2119" t="s">
        <v>389</v>
      </c>
      <c r="C616" s="2116"/>
      <c r="D616" s="2109" t="s">
        <v>5342</v>
      </c>
      <c r="E616" s="2110" t="s">
        <v>5343</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outlineLevel="1">
      <c r="A617" s="2097" t="str">
        <f t="shared" si="92"/>
        <v>Đóng cọc tiếp địa trong TBA</v>
      </c>
      <c r="B617" s="2122" t="s">
        <v>1438</v>
      </c>
      <c r="C617" s="2116"/>
      <c r="D617" s="2109" t="s">
        <v>5347</v>
      </c>
      <c r="E617" s="2110" t="s">
        <v>5348</v>
      </c>
      <c r="F617" s="2109" t="s">
        <v>2278</v>
      </c>
      <c r="G617" s="2116">
        <f>G609</f>
        <v>0</v>
      </c>
      <c r="H617" s="2112">
        <v>0</v>
      </c>
      <c r="I617" s="2117"/>
      <c r="J617" s="2142" t="s">
        <v>6307</v>
      </c>
      <c r="K617" s="2112">
        <v>1573.075</v>
      </c>
      <c r="L617" s="2118">
        <f>H617*G617</f>
        <v>0</v>
      </c>
      <c r="M617" s="2118">
        <f>I617*G617</f>
        <v>0</v>
      </c>
      <c r="N617" s="2112">
        <v>0</v>
      </c>
      <c r="O617" s="2117">
        <f>K617*G617</f>
        <v>0</v>
      </c>
      <c r="P617" s="2144"/>
    </row>
    <row r="618" spans="1:16" s="2094" customFormat="1" outlineLevel="1">
      <c r="A618" s="2097" t="str">
        <f t="shared" si="92"/>
        <v>Đào rãnh tiếp địa đất cấp 2</v>
      </c>
      <c r="B618" s="2119" t="s">
        <v>24</v>
      </c>
      <c r="C618" s="2116"/>
      <c r="D618" s="2109" t="s">
        <v>5331</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outlineLevel="1">
      <c r="A619" s="2097" t="str">
        <f t="shared" si="92"/>
        <v>Đắp đất rãnh tiếp độ chặt k=0,85</v>
      </c>
      <c r="B619" s="2119" t="s">
        <v>1056</v>
      </c>
      <c r="C619" s="2116"/>
      <c r="D619" s="2109" t="s">
        <v>5321</v>
      </c>
      <c r="E619" s="2110" t="s">
        <v>5333</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4.4" outlineLevel="1">
      <c r="A621" s="2097" t="e">
        <f t="shared" si="92"/>
        <v>#N/A</v>
      </c>
      <c r="B621" s="2119"/>
      <c r="C621" s="2131"/>
      <c r="D621" s="2191"/>
      <c r="E621" s="2161" t="s">
        <v>6125</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outlineLevel="1">
      <c r="A622" s="2097" t="str">
        <f t="shared" si="92"/>
        <v>Tủ CB trạm 1 pha + khóa + boulon</v>
      </c>
      <c r="B622" s="2122" t="s">
        <v>616</v>
      </c>
      <c r="C622" s="2116"/>
      <c r="D622" s="2109" t="s">
        <v>5651</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outlineLevel="1">
      <c r="A624" s="2097" t="str">
        <f t="shared" si="92"/>
        <v>Lắp cổ dê</v>
      </c>
      <c r="B624" s="2122" t="s">
        <v>1130</v>
      </c>
      <c r="C624" s="2116"/>
      <c r="D624" s="2109" t="s">
        <v>5268</v>
      </c>
      <c r="E624" s="2110" t="s">
        <v>5466</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outlineLevel="1">
      <c r="A626" s="2097" t="str">
        <f t="shared" si="92"/>
        <v xml:space="preserve">Bakelit 550x450 dầy 10mm </v>
      </c>
      <c r="B626" s="2119" t="s">
        <v>880</v>
      </c>
      <c r="C626" s="2116"/>
      <c r="D626" s="2109">
        <v>0</v>
      </c>
      <c r="E626" s="2110" t="s">
        <v>5795</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outlineLevel="1">
      <c r="A627" s="2097" t="e">
        <f t="shared" ref="A627:A654" si="93">VLOOKUP(B627,DonGia,3,0)</f>
        <v>#N/A</v>
      </c>
      <c r="B627" s="2119"/>
      <c r="C627" s="2131">
        <f>IF(G627&gt;0,C620+1,C620)</f>
        <v>0</v>
      </c>
      <c r="D627" s="2191"/>
      <c r="E627" s="2163" t="s">
        <v>6155</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4.4" outlineLevel="1">
      <c r="A628" s="2097" t="e">
        <f t="shared" si="93"/>
        <v>#N/A</v>
      </c>
      <c r="B628" s="2119"/>
      <c r="C628" s="2131"/>
      <c r="D628" s="2191"/>
      <c r="E628" s="2161" t="s">
        <v>6125</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outlineLevel="1">
      <c r="A629" s="2097" t="str">
        <f t="shared" si="93"/>
        <v>Cáp 24KV C/XLPE/PVC 25mm2</v>
      </c>
      <c r="B629" s="2122" t="s">
        <v>697</v>
      </c>
      <c r="C629" s="2116"/>
      <c r="D629" s="2109">
        <v>0</v>
      </c>
      <c r="E629" s="2110" t="s">
        <v>6319</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outlineLevel="1">
      <c r="A631" s="2097" t="str">
        <f t="shared" si="93"/>
        <v>Kẹp hotline 2/0</v>
      </c>
      <c r="B631" s="2107" t="s">
        <v>1477</v>
      </c>
      <c r="C631" s="2116"/>
      <c r="D631" s="2109">
        <v>0</v>
      </c>
      <c r="E631" s="2110" t="s">
        <v>4333</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outlineLevel="1">
      <c r="A632" s="2097" t="str">
        <f t="shared" si="93"/>
        <v>Nắp che đầu cực FCO</v>
      </c>
      <c r="B632" s="2107" t="s">
        <v>5695</v>
      </c>
      <c r="C632" s="2116"/>
      <c r="D632" s="2109">
        <v>0</v>
      </c>
      <c r="E632" s="2110" t="s">
        <v>5696</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outlineLevel="1">
      <c r="A633" s="2097" t="str">
        <f t="shared" si="93"/>
        <v>Nắp che đầu cực LA</v>
      </c>
      <c r="B633" s="2107" t="s">
        <v>5701</v>
      </c>
      <c r="C633" s="2116"/>
      <c r="D633" s="2109">
        <v>0</v>
      </c>
      <c r="E633" s="2110" t="s">
        <v>5702</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outlineLevel="1">
      <c r="A634" s="2097" t="str">
        <f t="shared" si="93"/>
        <v>Nắp che đầu sứ MBA</v>
      </c>
      <c r="B634" s="2107" t="s">
        <v>5703</v>
      </c>
      <c r="C634" s="2116"/>
      <c r="D634" s="2109">
        <v>0</v>
      </c>
      <c r="E634" s="2110" t="s">
        <v>5704</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outlineLevel="1">
      <c r="A635" s="2097" t="str">
        <f t="shared" si="93"/>
        <v>Lắp cáp đồng xuống thiết bị D ≤ 95mm2</v>
      </c>
      <c r="B635" s="2107" t="s">
        <v>1525</v>
      </c>
      <c r="C635" s="2116"/>
      <c r="D635" s="2109" t="s">
        <v>5567</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outlineLevel="1">
      <c r="A636" s="2097" t="e">
        <f t="shared" si="93"/>
        <v>#N/A</v>
      </c>
      <c r="B636" s="2119"/>
      <c r="C636" s="2131">
        <f>IF(G636&gt;0,C627+1,C627)</f>
        <v>0</v>
      </c>
      <c r="D636" s="2191"/>
      <c r="E636" s="2147" t="s">
        <v>6156</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4.4" outlineLevel="1">
      <c r="A637" s="2097" t="e">
        <f t="shared" si="93"/>
        <v>#N/A</v>
      </c>
      <c r="B637" s="2119"/>
      <c r="C637" s="2131"/>
      <c r="D637" s="2191"/>
      <c r="E637" s="2161" t="s">
        <v>6125</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outlineLevel="1">
      <c r="A640" s="2097" t="str">
        <f t="shared" si="93"/>
        <v>Đầu cosse ép Cu 50mm2</v>
      </c>
      <c r="B640" s="2119" t="s">
        <v>1302</v>
      </c>
      <c r="C640" s="2116"/>
      <c r="D640" s="2109" t="s">
        <v>5721</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outlineLevel="1">
      <c r="A643" s="2097" t="str">
        <f t="shared" si="93"/>
        <v>Cổ dê kẹp ống PVC Ø 90</v>
      </c>
      <c r="B643" s="2122" t="s">
        <v>1990</v>
      </c>
      <c r="C643" s="2116"/>
      <c r="D643" s="2109">
        <v>0</v>
      </c>
      <c r="E643" s="2110" t="s">
        <v>5253</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outlineLevel="1">
      <c r="A644" s="2097" t="str">
        <f t="shared" si="93"/>
        <v>Lắp cổ dê</v>
      </c>
      <c r="B644" s="2122" t="s">
        <v>1130</v>
      </c>
      <c r="C644" s="2116"/>
      <c r="D644" s="2109" t="s">
        <v>5268</v>
      </c>
      <c r="E644" s="2110" t="s">
        <v>5466</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outlineLevel="1">
      <c r="A645" s="2097" t="str">
        <f t="shared" si="93"/>
        <v>Co  90 độ PVC 90</v>
      </c>
      <c r="B645" s="2119" t="s">
        <v>70</v>
      </c>
      <c r="C645" s="2116"/>
      <c r="D645" s="2109">
        <v>0</v>
      </c>
      <c r="E645" s="2110" t="s">
        <v>5793</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outlineLevel="1">
      <c r="A649" s="2097" t="str">
        <f t="shared" si="93"/>
        <v>Keo silicon bít miệng ống</v>
      </c>
      <c r="B649" s="2119" t="s">
        <v>1179</v>
      </c>
      <c r="C649" s="2116"/>
      <c r="D649" s="2109">
        <v>0</v>
      </c>
      <c r="E649" s="2110" t="s">
        <v>3566</v>
      </c>
      <c r="F649" s="2109" t="s">
        <v>5802</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outlineLevel="1">
      <c r="A650" s="2097" t="str">
        <f t="shared" si="93"/>
        <v>Băng keo cách điện</v>
      </c>
      <c r="B650" s="2122" t="s">
        <v>672</v>
      </c>
      <c r="C650" s="2116"/>
      <c r="D650" s="2109">
        <v>0</v>
      </c>
      <c r="E650" s="2110" t="s">
        <v>5797</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outlineLevel="1">
      <c r="A651" s="2097" t="str">
        <f t="shared" si="93"/>
        <v>Lắp ống nhựa PVC D90</v>
      </c>
      <c r="B651" s="2119" t="s">
        <v>552</v>
      </c>
      <c r="C651" s="2116"/>
      <c r="D651" s="2109" t="s">
        <v>5543</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outlineLevel="1">
      <c r="A652" s="2097" t="str">
        <f t="shared" si="93"/>
        <v>Lắp cáp đồng xuống thiết bị D ≤ 95mm2</v>
      </c>
      <c r="B652" s="2122" t="s">
        <v>1525</v>
      </c>
      <c r="C652" s="2116"/>
      <c r="D652" s="2109" t="s">
        <v>5567</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outlineLevel="1">
      <c r="A653" s="2097" t="str">
        <f t="shared" si="93"/>
        <v>Bảng tên trạm, bảng báo nguy hiểm + đinh vít</v>
      </c>
      <c r="B653" s="2119" t="s">
        <v>289</v>
      </c>
      <c r="C653" s="2149">
        <f>IF(G653&gt;0,C636+1,C636)</f>
        <v>0</v>
      </c>
      <c r="D653" s="2150"/>
      <c r="E653" s="2110" t="s">
        <v>5708</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outlineLevel="1">
      <c r="A654" s="2097" t="e">
        <f t="shared" si="93"/>
        <v>#N/A</v>
      </c>
      <c r="B654" s="2119"/>
      <c r="C654" s="2154"/>
      <c r="D654" s="2155"/>
      <c r="E654" s="2128"/>
      <c r="F654" s="2611"/>
      <c r="G654" s="2611"/>
      <c r="H654" s="2611"/>
      <c r="I654" s="2611"/>
      <c r="J654" s="2647" t="s">
        <v>6123</v>
      </c>
      <c r="K654" s="2647"/>
      <c r="L654" s="2156">
        <f>SUM(L577:L653)</f>
        <v>0</v>
      </c>
      <c r="M654" s="2156"/>
      <c r="N654" s="2156">
        <f>SUM(N577:N653)</f>
        <v>0</v>
      </c>
      <c r="O654" s="2156">
        <f>SUM(O577:O653)</f>
        <v>0</v>
      </c>
      <c r="P654" s="2159"/>
    </row>
    <row r="655" spans="1:16" s="2094" customFormat="1" ht="13.95" customHeight="1">
      <c r="A655" s="2138" t="str">
        <f>IF(G661&lt;&gt;0,1,"")</f>
        <v/>
      </c>
      <c r="B655" s="2120"/>
      <c r="C655" s="2612"/>
      <c r="D655" s="2616"/>
    </row>
    <row r="656" spans="1:16" s="2094" customFormat="1" ht="13.95" customHeight="1">
      <c r="A656" s="2138"/>
      <c r="B656" s="2120"/>
      <c r="C656" s="2612"/>
      <c r="D656" s="2616"/>
      <c r="E656" s="2133"/>
    </row>
    <row r="657" spans="1:16" s="2094" customFormat="1"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outlineLevel="1">
      <c r="A658" s="2097" t="str">
        <f>A657</f>
        <v/>
      </c>
      <c r="B658" s="2119" t="s">
        <v>6104</v>
      </c>
      <c r="C658" s="2637" t="s">
        <v>1708</v>
      </c>
      <c r="D658" s="2638" t="s">
        <v>2597</v>
      </c>
      <c r="E658" s="2640" t="s">
        <v>2598</v>
      </c>
      <c r="F658" s="2637" t="s">
        <v>2593</v>
      </c>
      <c r="G658" s="2098" t="s">
        <v>6105</v>
      </c>
      <c r="H658" s="2101" t="s">
        <v>6106</v>
      </c>
      <c r="I658" s="2608"/>
      <c r="J658" s="2608"/>
      <c r="K658" s="2609"/>
      <c r="L658" s="2101" t="s">
        <v>6107</v>
      </c>
      <c r="M658" s="2608"/>
      <c r="N658" s="2608"/>
      <c r="O658" s="2609"/>
      <c r="P658" s="2637" t="s">
        <v>2599</v>
      </c>
    </row>
    <row r="659" spans="1:16" s="2094" customFormat="1" outlineLevel="1">
      <c r="A659" s="2097" t="str">
        <f>A658</f>
        <v/>
      </c>
      <c r="B659" s="2119"/>
      <c r="C659" s="2637"/>
      <c r="D659" s="2639"/>
      <c r="E659" s="2641"/>
      <c r="F659" s="2637"/>
      <c r="G659" s="2100" t="s">
        <v>2286</v>
      </c>
      <c r="H659" s="2101" t="s">
        <v>6108</v>
      </c>
      <c r="I659" s="2101" t="s">
        <v>6109</v>
      </c>
      <c r="J659" s="2101" t="s">
        <v>6110</v>
      </c>
      <c r="K659" s="2101" t="s">
        <v>6111</v>
      </c>
      <c r="L659" s="2101" t="s">
        <v>6108</v>
      </c>
      <c r="M659" s="2101" t="s">
        <v>6109</v>
      </c>
      <c r="N659" s="2101" t="s">
        <v>6110</v>
      </c>
      <c r="O659" s="2101" t="s">
        <v>6111</v>
      </c>
      <c r="P659" s="2637"/>
    </row>
    <row r="660" spans="1:16" s="2094" customFormat="1"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outlineLevel="1">
      <c r="A661" s="2097">
        <f>IF(G661&lt;&gt;0,1,0)</f>
        <v>0</v>
      </c>
      <c r="B661" s="2107" t="str">
        <f>IF($F$8=22,"TR251","TR25")</f>
        <v>TR251</v>
      </c>
      <c r="C661" s="2108">
        <f>IF(G661&gt;0,1,0)</f>
        <v>0</v>
      </c>
      <c r="D661" s="2109" t="s">
        <v>5579</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outlineLevel="1">
      <c r="A662" s="2097">
        <f t="shared" ref="A662:A731" si="98">IF(G662&lt;&gt;0,1,0)</f>
        <v>0</v>
      </c>
      <c r="B662" s="2107" t="str">
        <f>"FCO100-"&amp;$F$8</f>
        <v>FCO100-22</v>
      </c>
      <c r="C662" s="2108">
        <f t="shared" ref="C662:C667" si="99">IF(G662&gt;0,C661+1,C661)</f>
        <v>0</v>
      </c>
      <c r="D662" s="2109" t="s">
        <v>5594</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outlineLevel="1">
      <c r="A664" s="2097">
        <f t="shared" si="98"/>
        <v>0</v>
      </c>
      <c r="B664" s="2120" t="str">
        <f>"LA"&amp;$F$6</f>
        <v>LA18</v>
      </c>
      <c r="C664" s="2108">
        <f t="shared" si="99"/>
        <v>0</v>
      </c>
      <c r="D664" s="2109" t="s">
        <v>5598</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outlineLevel="1">
      <c r="A665" s="2097">
        <f t="shared" si="98"/>
        <v>0</v>
      </c>
      <c r="B665" s="2121" t="s">
        <v>1419</v>
      </c>
      <c r="C665" s="2108">
        <f t="shared" si="99"/>
        <v>0</v>
      </c>
      <c r="D665" s="2109">
        <v>0</v>
      </c>
      <c r="E665" s="2110" t="s">
        <v>5676</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outlineLevel="1">
      <c r="A668" s="2097" t="str">
        <f>A660</f>
        <v/>
      </c>
      <c r="B668" s="2119"/>
      <c r="C668" s="2124"/>
      <c r="D668" s="2185"/>
      <c r="E668" s="2106"/>
      <c r="F668" s="2124"/>
      <c r="G668" s="2124"/>
      <c r="H668" s="2124"/>
      <c r="I668" s="2124"/>
      <c r="J668" s="2106" t="s">
        <v>6113</v>
      </c>
      <c r="K668" s="2124"/>
      <c r="L668" s="2106">
        <f>SUM(L661:L667)</f>
        <v>0</v>
      </c>
      <c r="M668" s="2106">
        <f>SUM(M661:M667)</f>
        <v>0</v>
      </c>
      <c r="N668" s="2106">
        <f>SUM(N661:N667)</f>
        <v>0</v>
      </c>
      <c r="O668" s="2106">
        <f>SUM(O661:O667)</f>
        <v>0</v>
      </c>
      <c r="P668" s="2159"/>
    </row>
    <row r="669" spans="1:16" s="2094" customFormat="1"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4.4" outlineLevel="1">
      <c r="A671" s="2097">
        <f>A670</f>
        <v>0</v>
      </c>
      <c r="B671" s="2119"/>
      <c r="C671" s="2131"/>
      <c r="D671" s="2191"/>
      <c r="E671" s="2161" t="s">
        <v>6125</v>
      </c>
      <c r="F671" s="2116"/>
      <c r="G671" s="2116"/>
      <c r="H671" s="2192"/>
      <c r="I671" s="2192"/>
      <c r="J671" s="2192"/>
      <c r="K671" s="2192"/>
      <c r="L671" s="2192"/>
      <c r="M671" s="2192"/>
      <c r="N671" s="2192"/>
      <c r="O671" s="2193"/>
      <c r="P671" s="2144"/>
    </row>
    <row r="672" spans="1:16" s="2094" customFormat="1" outlineLevel="1">
      <c r="A672" s="2097">
        <f t="shared" si="98"/>
        <v>0</v>
      </c>
      <c r="B672" s="2122" t="s">
        <v>1000</v>
      </c>
      <c r="C672" s="2131"/>
      <c r="D672" s="2109">
        <v>0</v>
      </c>
      <c r="E672" s="2110" t="s">
        <v>5711</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outlineLevel="1">
      <c r="A675" s="2097">
        <f>IF(G675&lt;&gt;0,1,)</f>
        <v>0</v>
      </c>
      <c r="B675" s="2119"/>
      <c r="C675" s="2134">
        <f>IF(G675&gt;0,C670+1,C670)</f>
        <v>0</v>
      </c>
      <c r="D675" s="2135"/>
      <c r="E675" s="2136" t="s">
        <v>6130</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4.4" outlineLevel="1">
      <c r="A676" s="2097">
        <f>A675</f>
        <v>0</v>
      </c>
      <c r="B676" s="2119"/>
      <c r="C676" s="2131"/>
      <c r="D676" s="2135"/>
      <c r="E676" s="2137" t="s">
        <v>6125</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4.4" outlineLevel="1">
      <c r="A681" s="2097">
        <f>A680</f>
        <v>0</v>
      </c>
      <c r="B681" s="2119"/>
      <c r="C681" s="2131"/>
      <c r="D681" s="2135"/>
      <c r="E681" s="2137" t="s">
        <v>6125</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outlineLevel="1">
      <c r="A682" s="2097">
        <f>IF(G682&lt;&gt;0,1,)</f>
        <v>0</v>
      </c>
      <c r="B682" s="2122" t="s">
        <v>636</v>
      </c>
      <c r="C682" s="2116"/>
      <c r="D682" s="2109" t="s">
        <v>5043</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outlineLevel="1">
      <c r="A683" s="2097">
        <f>IF(G683&lt;&gt;0,1,)</f>
        <v>0</v>
      </c>
      <c r="B683" s="2122" t="s">
        <v>566</v>
      </c>
      <c r="C683" s="2116"/>
      <c r="D683" s="2109">
        <v>0</v>
      </c>
      <c r="E683" s="2110" t="s">
        <v>5068</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outlineLevel="1">
      <c r="A684" s="2097">
        <f>IF(G684&lt;&gt;0,1,)</f>
        <v>0</v>
      </c>
      <c r="B684" s="2122" t="s">
        <v>639</v>
      </c>
      <c r="C684" s="2116"/>
      <c r="D684" s="2109" t="s">
        <v>1747</v>
      </c>
      <c r="E684" s="2110" t="s">
        <v>5320</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outlineLevel="1">
      <c r="A685" s="2097">
        <f>IF(G685&lt;&gt;0,1,)</f>
        <v>0</v>
      </c>
      <c r="B685" s="2122" t="s">
        <v>21</v>
      </c>
      <c r="C685" s="2116"/>
      <c r="D685" s="2109" t="s">
        <v>5321</v>
      </c>
      <c r="E685" s="2110" t="s">
        <v>5322</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outlineLevel="1">
      <c r="A686" s="2097">
        <f t="shared" si="98"/>
        <v>0</v>
      </c>
      <c r="B686" s="2122" t="s">
        <v>6151</v>
      </c>
      <c r="C686" s="2131">
        <f>IF(G686&gt;0,C680+1,C680)</f>
        <v>0</v>
      </c>
      <c r="D686" s="2191"/>
      <c r="E686" s="2160" t="s">
        <v>6152</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4.4" outlineLevel="1">
      <c r="A687" s="2097">
        <f>A686</f>
        <v>0</v>
      </c>
      <c r="B687" s="2119"/>
      <c r="C687" s="2131"/>
      <c r="D687" s="2191"/>
      <c r="E687" s="2161" t="s">
        <v>6125</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outlineLevel="1">
      <c r="A688" s="2097">
        <f t="shared" si="98"/>
        <v>0</v>
      </c>
      <c r="B688" s="2122" t="s">
        <v>5147</v>
      </c>
      <c r="C688" s="2131"/>
      <c r="D688" s="2109">
        <v>0</v>
      </c>
      <c r="E688" s="2110" t="s">
        <v>5148</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outlineLevel="1">
      <c r="A689" s="2097">
        <f t="shared" si="98"/>
        <v>0</v>
      </c>
      <c r="B689" s="2122" t="s">
        <v>5154</v>
      </c>
      <c r="C689" s="2131"/>
      <c r="D689" s="2109">
        <v>0</v>
      </c>
      <c r="E689" s="2110" t="s">
        <v>5155</v>
      </c>
      <c r="F689" s="2109" t="s">
        <v>5156</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outlineLevel="1">
      <c r="A690" s="2097">
        <f t="shared" si="98"/>
        <v>0</v>
      </c>
      <c r="B690" s="2119" t="s">
        <v>488</v>
      </c>
      <c r="C690" s="2131"/>
      <c r="D690" s="2109">
        <v>0</v>
      </c>
      <c r="E690" s="2110" t="s">
        <v>5074</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outlineLevel="1">
      <c r="A694" s="2097">
        <f>IF(G694&lt;&gt;0,1,0)</f>
        <v>0</v>
      </c>
      <c r="B694" s="2119" t="s">
        <v>420</v>
      </c>
      <c r="C694" s="2131"/>
      <c r="D694" s="2109" t="s">
        <v>5417</v>
      </c>
      <c r="E694" s="2110" t="s">
        <v>5418</v>
      </c>
      <c r="F694" s="2109" t="s">
        <v>2439</v>
      </c>
      <c r="G694" s="2116">
        <f>G686</f>
        <v>0</v>
      </c>
      <c r="H694" s="2112">
        <v>0</v>
      </c>
      <c r="I694" s="2117"/>
      <c r="J694" s="2112" t="s">
        <v>6318</v>
      </c>
      <c r="K694" s="2112">
        <v>0</v>
      </c>
      <c r="L694" s="2118">
        <f>H694*G694</f>
        <v>0</v>
      </c>
      <c r="M694" s="2118">
        <f>I694*G694</f>
        <v>0</v>
      </c>
      <c r="N694" s="2112">
        <v>0</v>
      </c>
      <c r="O694" s="2117">
        <f>K694*G694</f>
        <v>0</v>
      </c>
      <c r="P694" s="2144"/>
    </row>
    <row r="695" spans="1:16" s="2094" customFormat="1"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4.4" outlineLevel="1">
      <c r="A696" s="2097">
        <f>A695</f>
        <v>0</v>
      </c>
      <c r="B696" s="2119"/>
      <c r="C696" s="2131"/>
      <c r="D696" s="2191"/>
      <c r="E696" s="2161" t="s">
        <v>6125</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outlineLevel="1">
      <c r="A698" s="2097">
        <f t="shared" si="98"/>
        <v>0</v>
      </c>
      <c r="B698" s="2122" t="s">
        <v>1508</v>
      </c>
      <c r="C698" s="2116"/>
      <c r="D698" s="2109">
        <v>0</v>
      </c>
      <c r="E698" s="2110" t="s">
        <v>5159</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outlineLevel="1">
      <c r="A700" s="2097">
        <f t="shared" si="98"/>
        <v>0</v>
      </c>
      <c r="B700" s="2119" t="s">
        <v>905</v>
      </c>
      <c r="C700" s="2116"/>
      <c r="D700" s="2109">
        <v>0</v>
      </c>
      <c r="E700" s="2110" t="s">
        <v>6320</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outlineLevel="1">
      <c r="A702" s="2097">
        <f t="shared" si="98"/>
        <v>0</v>
      </c>
      <c r="B702" s="2122" t="s">
        <v>525</v>
      </c>
      <c r="C702" s="2116"/>
      <c r="D702" s="2109">
        <v>0</v>
      </c>
      <c r="E702" s="2110" t="s">
        <v>5248</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outlineLevel="1">
      <c r="A703" s="2097">
        <f>+A697</f>
        <v>0</v>
      </c>
      <c r="B703" s="2119" t="s">
        <v>2183</v>
      </c>
      <c r="C703" s="2116"/>
      <c r="D703" s="2109" t="s">
        <v>5342</v>
      </c>
      <c r="E703" s="2110" t="s">
        <v>5343</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outlineLevel="1">
      <c r="A704" s="2097">
        <f>+A698</f>
        <v>0</v>
      </c>
      <c r="B704" s="2122" t="s">
        <v>902</v>
      </c>
      <c r="C704" s="2116"/>
      <c r="D704" s="2109" t="s">
        <v>5347</v>
      </c>
      <c r="E704" s="2110" t="s">
        <v>5348</v>
      </c>
      <c r="F704" s="2109" t="s">
        <v>2278</v>
      </c>
      <c r="G704" s="2116">
        <f>G698</f>
        <v>0</v>
      </c>
      <c r="H704" s="2112">
        <v>0</v>
      </c>
      <c r="I704" s="2117"/>
      <c r="J704" s="2112" t="s">
        <v>6307</v>
      </c>
      <c r="K704" s="2112">
        <v>1573.075</v>
      </c>
      <c r="L704" s="2118">
        <f>H704*G704</f>
        <v>0</v>
      </c>
      <c r="M704" s="2118">
        <f>I704*G704</f>
        <v>0</v>
      </c>
      <c r="N704" s="2112">
        <v>0</v>
      </c>
      <c r="O704" s="2117">
        <f>K704*G704</f>
        <v>0</v>
      </c>
      <c r="P704" s="2144"/>
    </row>
    <row r="705" spans="1:16" s="2094" customFormat="1" outlineLevel="1">
      <c r="A705" s="2097">
        <f>IF(G705&lt;&gt;0,1,0)</f>
        <v>0</v>
      </c>
      <c r="B705" s="2119" t="s">
        <v>1055</v>
      </c>
      <c r="C705" s="2116"/>
      <c r="D705" s="2109" t="s">
        <v>5332</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outlineLevel="1">
      <c r="A706" s="2097">
        <f>IF(G706&lt;&gt;0,1,0)</f>
        <v>0</v>
      </c>
      <c r="B706" s="2122" t="s">
        <v>1056</v>
      </c>
      <c r="C706" s="2116"/>
      <c r="D706" s="2109" t="s">
        <v>5321</v>
      </c>
      <c r="E706" s="2110" t="s">
        <v>5333</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4.4" outlineLevel="1">
      <c r="A708" s="2097">
        <f>A707</f>
        <v>0</v>
      </c>
      <c r="B708" s="2119"/>
      <c r="C708" s="2131"/>
      <c r="D708" s="2191"/>
      <c r="E708" s="2161" t="s">
        <v>6125</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outlineLevel="1">
      <c r="A709" s="2097">
        <f t="shared" si="98"/>
        <v>0</v>
      </c>
      <c r="B709" s="2122" t="s">
        <v>616</v>
      </c>
      <c r="C709" s="2116"/>
      <c r="D709" s="2109" t="s">
        <v>5651</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outlineLevel="1">
      <c r="A711" s="2097">
        <f t="shared" si="98"/>
        <v>0</v>
      </c>
      <c r="B711" s="2119" t="s">
        <v>880</v>
      </c>
      <c r="C711" s="2116"/>
      <c r="D711" s="2196"/>
      <c r="E711" s="2110" t="s">
        <v>5795</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outlineLevel="1">
      <c r="A712" s="2097">
        <f t="shared" si="98"/>
        <v>0</v>
      </c>
      <c r="B712" s="2119"/>
      <c r="C712" s="2131">
        <f>IF(G712&gt;0,C707+1,C707)</f>
        <v>0</v>
      </c>
      <c r="D712" s="2191"/>
      <c r="E712" s="2163" t="s">
        <v>6157</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4.4" outlineLevel="1">
      <c r="A713" s="2097">
        <f>A712</f>
        <v>0</v>
      </c>
      <c r="B713" s="2119"/>
      <c r="C713" s="2131"/>
      <c r="D713" s="2191"/>
      <c r="E713" s="2161" t="s">
        <v>6125</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outlineLevel="1">
      <c r="A714" s="2097">
        <f t="shared" si="98"/>
        <v>0</v>
      </c>
      <c r="B714" s="2148" t="s">
        <v>697</v>
      </c>
      <c r="C714" s="2116"/>
      <c r="D714" s="2109">
        <v>0</v>
      </c>
      <c r="E714" s="2110" t="s">
        <v>5083</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outlineLevel="1">
      <c r="A717" s="2097">
        <f t="shared" si="98"/>
        <v>0</v>
      </c>
      <c r="B717" s="2107" t="s">
        <v>1477</v>
      </c>
      <c r="C717" s="2116"/>
      <c r="D717" s="2109">
        <v>0</v>
      </c>
      <c r="E717" s="2110" t="s">
        <v>4333</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outlineLevel="1">
      <c r="A718" s="2097">
        <f>IF(G718&lt;&gt;0,1,0)</f>
        <v>0</v>
      </c>
      <c r="B718" s="2107" t="s">
        <v>5695</v>
      </c>
      <c r="C718" s="2116"/>
      <c r="D718" s="2109">
        <v>0</v>
      </c>
      <c r="E718" s="2110" t="s">
        <v>5696</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outlineLevel="1">
      <c r="A719" s="2097">
        <f>IF(G719&lt;&gt;0,1,0)</f>
        <v>0</v>
      </c>
      <c r="B719" s="2107" t="s">
        <v>5701</v>
      </c>
      <c r="C719" s="2116"/>
      <c r="D719" s="2109">
        <v>0</v>
      </c>
      <c r="E719" s="2110" t="s">
        <v>5702</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outlineLevel="1">
      <c r="A720" s="2097">
        <f>IF(G720&lt;&gt;0,1,0)</f>
        <v>0</v>
      </c>
      <c r="B720" s="2107" t="s">
        <v>5703</v>
      </c>
      <c r="C720" s="2116"/>
      <c r="D720" s="2109">
        <v>0</v>
      </c>
      <c r="E720" s="2110" t="s">
        <v>5704</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outlineLevel="1">
      <c r="A721" s="2097">
        <f>IF(G721&lt;&gt;0,1,0)</f>
        <v>0</v>
      </c>
      <c r="B721" s="2107" t="s">
        <v>1525</v>
      </c>
      <c r="C721" s="2116"/>
      <c r="D721" s="2109" t="s">
        <v>5567</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outlineLevel="1">
      <c r="A722" s="2097">
        <f t="shared" si="98"/>
        <v>0</v>
      </c>
      <c r="B722" s="2119"/>
      <c r="C722" s="2131">
        <f>IF(G722&gt;0,C712+1,C712)</f>
        <v>0</v>
      </c>
      <c r="D722" s="2191"/>
      <c r="E722" s="2163" t="s">
        <v>6158</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4.4" outlineLevel="1">
      <c r="A723" s="2097">
        <f>A722</f>
        <v>0</v>
      </c>
      <c r="B723" s="2119"/>
      <c r="C723" s="2131"/>
      <c r="D723" s="2191"/>
      <c r="E723" s="2161" t="s">
        <v>6125</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outlineLevel="1">
      <c r="A726" s="2097">
        <f t="shared" si="98"/>
        <v>0</v>
      </c>
      <c r="B726" s="2119" t="s">
        <v>1302</v>
      </c>
      <c r="C726" s="2116"/>
      <c r="D726" s="2109" t="s">
        <v>5721</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outlineLevel="1">
      <c r="A729" s="2097">
        <f t="shared" si="98"/>
        <v>0</v>
      </c>
      <c r="B729" s="2122" t="s">
        <v>1990</v>
      </c>
      <c r="C729" s="2116"/>
      <c r="D729" s="2109">
        <v>0</v>
      </c>
      <c r="E729" s="2110" t="s">
        <v>5253</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outlineLevel="1">
      <c r="A730" s="2097">
        <f t="shared" si="98"/>
        <v>0</v>
      </c>
      <c r="B730" s="2119" t="s">
        <v>69</v>
      </c>
      <c r="C730" s="2116"/>
      <c r="D730" s="2109">
        <v>0</v>
      </c>
      <c r="E730" s="2110" t="s">
        <v>5793</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outlineLevel="1">
      <c r="A734" s="2097">
        <f>IF(G734&lt;&gt;0,1,0)</f>
        <v>0</v>
      </c>
      <c r="B734" s="2119" t="s">
        <v>1179</v>
      </c>
      <c r="C734" s="2116"/>
      <c r="D734" s="2109">
        <v>0</v>
      </c>
      <c r="E734" s="2110" t="s">
        <v>3566</v>
      </c>
      <c r="F734" s="2109" t="s">
        <v>5802</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outlineLevel="1">
      <c r="A735" s="2097">
        <f>IF(G735&lt;&gt;0,1,0)</f>
        <v>0</v>
      </c>
      <c r="B735" s="2122" t="s">
        <v>672</v>
      </c>
      <c r="C735" s="2116"/>
      <c r="D735" s="2109">
        <v>0</v>
      </c>
      <c r="E735" s="2110" t="s">
        <v>5797</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outlineLevel="1">
      <c r="A736" s="2097">
        <f>A735</f>
        <v>0</v>
      </c>
      <c r="B736" s="2119" t="s">
        <v>2182</v>
      </c>
      <c r="C736" s="2116"/>
      <c r="D736" s="2109" t="s">
        <v>5543</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outlineLevel="1">
      <c r="A737" s="2097">
        <f>A735</f>
        <v>0</v>
      </c>
      <c r="B737" s="2122" t="s">
        <v>1525</v>
      </c>
      <c r="C737" s="2116"/>
      <c r="D737" s="2109" t="s">
        <v>5567</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outlineLevel="1">
      <c r="A738" s="2097">
        <f>IF(G738&lt;&gt;0,1,0)</f>
        <v>0</v>
      </c>
      <c r="B738" s="2119" t="s">
        <v>289</v>
      </c>
      <c r="C738" s="2149">
        <f>IF(G738&gt;0,C722+1,C722)</f>
        <v>0</v>
      </c>
      <c r="D738" s="2150"/>
      <c r="E738" s="2200" t="s">
        <v>6159</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outlineLevel="1">
      <c r="A739" s="2097">
        <f>A738</f>
        <v>0</v>
      </c>
      <c r="B739" s="2120"/>
      <c r="C739" s="2154"/>
      <c r="D739" s="2155"/>
      <c r="E739" s="2128"/>
      <c r="F739" s="2611"/>
      <c r="G739" s="2611"/>
      <c r="H739" s="2611"/>
      <c r="I739" s="2611"/>
      <c r="J739" s="2647" t="s">
        <v>6123</v>
      </c>
      <c r="K739" s="2647"/>
      <c r="L739" s="2156">
        <f>SUM(L672:L738)</f>
        <v>0</v>
      </c>
      <c r="M739" s="2156">
        <f>SUM(M672:M738)</f>
        <v>0</v>
      </c>
      <c r="N739" s="2156">
        <f>SUM(N672:N738)</f>
        <v>0</v>
      </c>
      <c r="O739" s="2156">
        <f>SUM(O672:O738)</f>
        <v>0</v>
      </c>
      <c r="P739" s="2159"/>
    </row>
    <row r="740" spans="1:16" s="2094" customFormat="1" ht="13.95"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outlineLevel="1">
      <c r="A742" s="2097" t="str">
        <f>A741</f>
        <v/>
      </c>
      <c r="B742" s="2119" t="s">
        <v>6104</v>
      </c>
      <c r="C742" s="2637" t="s">
        <v>1708</v>
      </c>
      <c r="D742" s="2638" t="s">
        <v>2597</v>
      </c>
      <c r="E742" s="2640" t="s">
        <v>2598</v>
      </c>
      <c r="F742" s="2637" t="s">
        <v>2593</v>
      </c>
      <c r="G742" s="2098" t="s">
        <v>6105</v>
      </c>
      <c r="H742" s="2101" t="s">
        <v>6106</v>
      </c>
      <c r="I742" s="2608"/>
      <c r="J742" s="2608"/>
      <c r="K742" s="2609"/>
      <c r="L742" s="2101" t="s">
        <v>6107</v>
      </c>
      <c r="M742" s="2608"/>
      <c r="N742" s="2608"/>
      <c r="O742" s="2609"/>
      <c r="P742" s="2637" t="s">
        <v>2599</v>
      </c>
    </row>
    <row r="743" spans="1:16" s="2094" customFormat="1" outlineLevel="1">
      <c r="A743" s="2097" t="str">
        <f>A742</f>
        <v/>
      </c>
      <c r="B743" s="2119"/>
      <c r="C743" s="2637"/>
      <c r="D743" s="2639"/>
      <c r="E743" s="2641"/>
      <c r="F743" s="2637"/>
      <c r="G743" s="2100" t="s">
        <v>2286</v>
      </c>
      <c r="H743" s="2101" t="s">
        <v>6108</v>
      </c>
      <c r="I743" s="2101" t="s">
        <v>6109</v>
      </c>
      <c r="J743" s="2101" t="s">
        <v>6110</v>
      </c>
      <c r="K743" s="2101" t="s">
        <v>6111</v>
      </c>
      <c r="L743" s="2101" t="s">
        <v>6108</v>
      </c>
      <c r="M743" s="2101" t="s">
        <v>6109</v>
      </c>
      <c r="N743" s="2101" t="s">
        <v>6110</v>
      </c>
      <c r="O743" s="2101" t="s">
        <v>6111</v>
      </c>
      <c r="P743" s="2637"/>
    </row>
    <row r="744" spans="1:16" s="2094" customFormat="1"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outlineLevel="1">
      <c r="A745" s="2171" t="str">
        <f>IF(G745&lt;&gt;0,1,"")</f>
        <v/>
      </c>
      <c r="B745" s="2107" t="str">
        <f>IF($F$8=22,"TR371","TR37")</f>
        <v>TR371</v>
      </c>
      <c r="C745" s="2108">
        <f>IF(G745&gt;0,1,0)</f>
        <v>0</v>
      </c>
      <c r="D745" s="2109" t="s">
        <v>5580</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outlineLevel="1">
      <c r="A746" s="2171" t="str">
        <f t="shared" ref="A746:A752" si="108">IF(G746&lt;&gt;0,1,"")</f>
        <v/>
      </c>
      <c r="B746" s="2107" t="str">
        <f>"FCO100-"&amp;$F$8</f>
        <v>FCO100-22</v>
      </c>
      <c r="C746" s="2108">
        <f>IF(G746&gt;0,C745+1,C745)</f>
        <v>0</v>
      </c>
      <c r="D746" s="2109" t="s">
        <v>5594</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outlineLevel="1">
      <c r="A748" s="2171" t="str">
        <f t="shared" si="108"/>
        <v/>
      </c>
      <c r="B748" s="2120" t="str">
        <f>"LA"&amp;$F$6</f>
        <v>LA18</v>
      </c>
      <c r="C748" s="2108">
        <f t="shared" si="109"/>
        <v>0</v>
      </c>
      <c r="D748" s="2109" t="s">
        <v>5598</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outlineLevel="1">
      <c r="A749" s="2171" t="str">
        <f t="shared" si="108"/>
        <v/>
      </c>
      <c r="B749" s="2121" t="s">
        <v>4922</v>
      </c>
      <c r="C749" s="2108">
        <f t="shared" si="109"/>
        <v>0</v>
      </c>
      <c r="D749" s="2109">
        <v>0</v>
      </c>
      <c r="E749" s="2110" t="s">
        <v>5677</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outlineLevel="1">
      <c r="A753" s="2171" t="str">
        <f>+A741</f>
        <v/>
      </c>
      <c r="B753" s="2119"/>
      <c r="C753" s="2106"/>
      <c r="D753" s="2185"/>
      <c r="E753" s="2204"/>
      <c r="F753" s="2617"/>
      <c r="G753" s="2615"/>
      <c r="H753" s="2617"/>
      <c r="I753" s="2205"/>
      <c r="J753" s="2106" t="s">
        <v>6113</v>
      </c>
      <c r="K753" s="2204"/>
      <c r="L753" s="2205">
        <f>SUM(L745:L752)</f>
        <v>0</v>
      </c>
      <c r="M753" s="2205">
        <f>SUM(M745:M752)</f>
        <v>0</v>
      </c>
      <c r="N753" s="2205">
        <f>SUM(N745:N752)</f>
        <v>0</v>
      </c>
      <c r="O753" s="2205">
        <f>SUM(O745:O752)</f>
        <v>0</v>
      </c>
      <c r="P753" s="2205"/>
    </row>
    <row r="754" spans="1:18" s="2094" customFormat="1"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4.4" outlineLevel="1">
      <c r="A756" s="2097" t="str">
        <f>A755</f>
        <v/>
      </c>
      <c r="B756" s="2119"/>
      <c r="C756" s="2131"/>
      <c r="D756" s="2213"/>
      <c r="E756" s="2214" t="s">
        <v>6125</v>
      </c>
      <c r="F756" s="2197"/>
      <c r="G756" s="2173"/>
      <c r="H756" s="2215"/>
      <c r="I756" s="2215"/>
      <c r="J756" s="2215"/>
      <c r="K756" s="2215"/>
      <c r="L756" s="2215"/>
      <c r="M756" s="2215"/>
      <c r="N756" s="2215"/>
      <c r="O756" s="2216"/>
      <c r="P756" s="2144"/>
    </row>
    <row r="757" spans="1:18" s="2094" customFormat="1" outlineLevel="1">
      <c r="A757" s="2097" t="str">
        <f>A756</f>
        <v/>
      </c>
      <c r="B757" s="2122" t="s">
        <v>1587</v>
      </c>
      <c r="C757" s="2131"/>
      <c r="D757" s="2109">
        <v>0</v>
      </c>
      <c r="E757" s="2110" t="s">
        <v>5712</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5417</v>
      </c>
      <c r="E760" s="2110" t="s">
        <v>5418</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7.6" outlineLevel="1">
      <c r="A761" s="2097">
        <f>IF(G761&lt;&gt;0,1,)</f>
        <v>0</v>
      </c>
      <c r="B761" s="2119"/>
      <c r="C761" s="2131">
        <f>IF(G761&gt;0,C755+1,C755)</f>
        <v>0</v>
      </c>
      <c r="D761" s="2135"/>
      <c r="E761" s="2217" t="s">
        <v>6160</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outlineLevel="1">
      <c r="A762" s="2097">
        <f t="shared" ref="A762:A767" si="114">IF(G762&lt;&gt;0,1,)</f>
        <v>0</v>
      </c>
      <c r="B762" s="2220" t="s">
        <v>5831</v>
      </c>
      <c r="C762" s="2116"/>
      <c r="D762" s="2109">
        <v>0</v>
      </c>
      <c r="E762" s="2110" t="s">
        <v>5832</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outlineLevel="1">
      <c r="A764" s="2097">
        <f t="shared" si="114"/>
        <v>0</v>
      </c>
      <c r="B764" s="2220" t="s">
        <v>6161</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outlineLevel="1">
      <c r="A765" s="2097">
        <f t="shared" si="114"/>
        <v>0</v>
      </c>
      <c r="B765" s="2220" t="s">
        <v>6162</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outlineLevel="1">
      <c r="A767" s="2097">
        <f t="shared" si="114"/>
        <v>0</v>
      </c>
      <c r="B767" s="2220" t="s">
        <v>516</v>
      </c>
      <c r="C767" s="2116"/>
      <c r="D767" s="2109" t="s">
        <v>5417</v>
      </c>
      <c r="E767" s="2110" t="s">
        <v>5418</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outlineLevel="1">
      <c r="A768" s="2097">
        <f>IF(G768&lt;&gt;0,1,)</f>
        <v>0</v>
      </c>
      <c r="B768" s="2119"/>
      <c r="C768" s="2131">
        <f>IF(G768&gt;0,C761+1,C761)</f>
        <v>0</v>
      </c>
      <c r="D768" s="2135"/>
      <c r="E768" s="2222" t="s">
        <v>6163</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4.4" outlineLevel="1">
      <c r="A772" s="2097">
        <f>A771</f>
        <v>0</v>
      </c>
      <c r="B772" s="2119"/>
      <c r="C772" s="2131"/>
      <c r="D772" s="2135"/>
      <c r="E772" s="2137" t="s">
        <v>6125</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outlineLevel="1">
      <c r="A773" s="2097">
        <f>IF(G773&lt;&gt;0,1,)</f>
        <v>0</v>
      </c>
      <c r="B773" s="2122" t="s">
        <v>636</v>
      </c>
      <c r="C773" s="2116"/>
      <c r="D773" s="2109" t="s">
        <v>5043</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outlineLevel="1">
      <c r="A774" s="2097">
        <f>IF(G774&lt;&gt;0,1,)</f>
        <v>0</v>
      </c>
      <c r="B774" s="2122" t="s">
        <v>566</v>
      </c>
      <c r="C774" s="2116"/>
      <c r="D774" s="2109">
        <v>0</v>
      </c>
      <c r="E774" s="2110" t="s">
        <v>5068</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outlineLevel="1">
      <c r="A775" s="2097">
        <f>IF(G775&lt;&gt;0,1,)</f>
        <v>0</v>
      </c>
      <c r="B775" s="2122" t="s">
        <v>639</v>
      </c>
      <c r="C775" s="2116"/>
      <c r="D775" s="2109" t="s">
        <v>1747</v>
      </c>
      <c r="E775" s="2110" t="s">
        <v>5320</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outlineLevel="1">
      <c r="A776" s="2097">
        <f>IF(G776&lt;&gt;0,1,)</f>
        <v>0</v>
      </c>
      <c r="B776" s="2122" t="s">
        <v>21</v>
      </c>
      <c r="C776" s="2116"/>
      <c r="D776" s="2109" t="s">
        <v>5321</v>
      </c>
      <c r="E776" s="2110" t="s">
        <v>5322</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outlineLevel="1">
      <c r="A777" s="2097"/>
      <c r="B777" s="2122"/>
      <c r="C777" s="2131">
        <f>IF(G777&gt;0,C771+1,C771)</f>
        <v>0</v>
      </c>
      <c r="D777" s="2224"/>
      <c r="E777" s="2225" t="s">
        <v>6164</v>
      </c>
      <c r="F777" s="2226" t="s">
        <v>2385</v>
      </c>
      <c r="G777" s="2176"/>
      <c r="H777" s="2112"/>
      <c r="I777" s="2112"/>
      <c r="J777" s="2112"/>
      <c r="K777" s="2112"/>
      <c r="L777" s="2118"/>
      <c r="M777" s="2118"/>
      <c r="N777" s="2118"/>
      <c r="O777" s="2117"/>
      <c r="P777" s="2116"/>
      <c r="R777" s="2138"/>
    </row>
    <row r="778" spans="1:18" s="2236" customFormat="1" outlineLevel="1">
      <c r="A778" s="2227">
        <f t="shared" ref="A778:A787" si="115">IF(G778&lt;&gt;0,1,)</f>
        <v>0</v>
      </c>
      <c r="B778" s="2228" t="s">
        <v>5232</v>
      </c>
      <c r="C778" s="2229"/>
      <c r="D778" s="2230">
        <v>0</v>
      </c>
      <c r="E778" s="2231" t="s">
        <v>5233</v>
      </c>
      <c r="F778" s="2230" t="s">
        <v>5170</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6165</v>
      </c>
      <c r="R778" s="2237"/>
    </row>
    <row r="779" spans="1:18" s="2236" customFormat="1" outlineLevel="1">
      <c r="A779" s="2227">
        <f t="shared" si="115"/>
        <v>0</v>
      </c>
      <c r="B779" s="2228" t="s">
        <v>5224</v>
      </c>
      <c r="C779" s="2229"/>
      <c r="D779" s="2230">
        <v>0</v>
      </c>
      <c r="E779" s="2231" t="s">
        <v>6166</v>
      </c>
      <c r="F779" s="2230" t="s">
        <v>5170</v>
      </c>
      <c r="G779" s="2232"/>
      <c r="H779" s="2233"/>
      <c r="I779" s="2233"/>
      <c r="J779" s="2233">
        <v>0</v>
      </c>
      <c r="K779" s="2233">
        <v>0</v>
      </c>
      <c r="L779" s="2234">
        <f t="shared" si="116"/>
        <v>0</v>
      </c>
      <c r="M779" s="2234">
        <f t="shared" si="117"/>
        <v>0</v>
      </c>
      <c r="N779" s="2234">
        <f t="shared" si="118"/>
        <v>0</v>
      </c>
      <c r="O779" s="2235">
        <f t="shared" si="119"/>
        <v>0</v>
      </c>
      <c r="P779" s="2229" t="s">
        <v>6165</v>
      </c>
      <c r="R779" s="2237"/>
    </row>
    <row r="780" spans="1:18" s="2236" customFormat="1"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6165</v>
      </c>
      <c r="R780" s="2237"/>
    </row>
    <row r="781" spans="1:18" s="2236" customFormat="1"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6165</v>
      </c>
      <c r="R781" s="2237"/>
    </row>
    <row r="782" spans="1:18" s="2236" customFormat="1"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6165</v>
      </c>
      <c r="R782" s="2237"/>
    </row>
    <row r="783" spans="1:18" s="2094" customFormat="1" outlineLevel="1">
      <c r="A783" s="2097">
        <f>IF(G783&lt;&gt;0,1,)</f>
        <v>0</v>
      </c>
      <c r="B783" s="2238" t="s">
        <v>1998</v>
      </c>
      <c r="C783" s="2116"/>
      <c r="D783" s="2109" t="s">
        <v>5424</v>
      </c>
      <c r="E783" s="2110" t="s">
        <v>5425</v>
      </c>
      <c r="F783" s="2109" t="s">
        <v>2439</v>
      </c>
      <c r="G783" s="2173"/>
      <c r="H783" s="2112">
        <v>0</v>
      </c>
      <c r="I783" s="2112"/>
      <c r="J783" s="2112" t="s">
        <v>6321</v>
      </c>
      <c r="K783" s="2112">
        <v>0</v>
      </c>
      <c r="L783" s="2118">
        <f>H783*G783</f>
        <v>0</v>
      </c>
      <c r="M783" s="2118">
        <f>I783*G783</f>
        <v>0</v>
      </c>
      <c r="N783" s="2118">
        <v>0</v>
      </c>
      <c r="O783" s="2117">
        <f>K783*G783</f>
        <v>0</v>
      </c>
      <c r="P783" s="2116"/>
      <c r="R783" s="2138"/>
    </row>
    <row r="784" spans="1:18" s="2094" customFormat="1" outlineLevel="1">
      <c r="A784" s="2097">
        <f>IF(G784&lt;&gt;0,1,)</f>
        <v>0</v>
      </c>
      <c r="B784" s="2239"/>
      <c r="C784" s="2131">
        <f>IF(G784&gt;0,C777+1,C777)</f>
        <v>0</v>
      </c>
      <c r="D784" s="2109"/>
      <c r="E784" s="2225" t="s">
        <v>6167</v>
      </c>
      <c r="F784" s="2226" t="s">
        <v>2439</v>
      </c>
      <c r="G784" s="2176"/>
      <c r="H784" s="2112"/>
      <c r="I784" s="2112"/>
      <c r="J784" s="2112"/>
      <c r="K784" s="2112"/>
      <c r="L784" s="2118"/>
      <c r="M784" s="2118">
        <f>I784*G784</f>
        <v>0</v>
      </c>
      <c r="N784" s="2118"/>
      <c r="O784" s="2117"/>
      <c r="P784" s="2116"/>
      <c r="R784" s="2138"/>
    </row>
    <row r="785" spans="1:18" s="2236" customFormat="1"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6165</v>
      </c>
      <c r="R785" s="2237"/>
    </row>
    <row r="786" spans="1:18" s="2236" customFormat="1"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6165</v>
      </c>
      <c r="R786" s="2237"/>
    </row>
    <row r="787" spans="1:18" s="2094" customFormat="1" outlineLevel="1">
      <c r="A787" s="2097">
        <f t="shared" si="115"/>
        <v>0</v>
      </c>
      <c r="B787" s="2241" t="s">
        <v>1565</v>
      </c>
      <c r="C787" s="2116"/>
      <c r="D787" s="2109" t="s">
        <v>5556</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outlineLevel="1">
      <c r="A788" s="2097">
        <f>IF(G788&lt;&gt;0,1,0)</f>
        <v>0</v>
      </c>
      <c r="B788" s="2122" t="s">
        <v>6151</v>
      </c>
      <c r="C788" s="2131">
        <f>IF(G788&gt;0,C784+1,C784)</f>
        <v>0</v>
      </c>
      <c r="D788" s="2191"/>
      <c r="E788" s="2160" t="s">
        <v>6152</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4.4" outlineLevel="1">
      <c r="A789" s="2097">
        <f>A788</f>
        <v>0</v>
      </c>
      <c r="B789" s="2119"/>
      <c r="C789" s="2131"/>
      <c r="D789" s="2191"/>
      <c r="E789" s="2161" t="s">
        <v>6125</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outlineLevel="1">
      <c r="A790" s="2097">
        <f t="shared" ref="A790:A795" si="120">IF(G790&lt;&gt;0,1,0)</f>
        <v>0</v>
      </c>
      <c r="B790" s="2122" t="s">
        <v>5147</v>
      </c>
      <c r="C790" s="2131"/>
      <c r="D790" s="2109">
        <v>0</v>
      </c>
      <c r="E790" s="2110" t="s">
        <v>5148</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outlineLevel="1">
      <c r="A791" s="2097">
        <f t="shared" si="120"/>
        <v>0</v>
      </c>
      <c r="B791" s="2122" t="s">
        <v>5154</v>
      </c>
      <c r="C791" s="2131"/>
      <c r="D791" s="2109">
        <v>0</v>
      </c>
      <c r="E791" s="2110" t="s">
        <v>5155</v>
      </c>
      <c r="F791" s="2109" t="s">
        <v>5156</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outlineLevel="1">
      <c r="A792" s="2097">
        <f t="shared" si="120"/>
        <v>0</v>
      </c>
      <c r="B792" s="2119" t="s">
        <v>488</v>
      </c>
      <c r="C792" s="2131"/>
      <c r="D792" s="2109">
        <v>0</v>
      </c>
      <c r="E792" s="2110" t="s">
        <v>5074</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outlineLevel="1">
      <c r="A796" s="2097">
        <f>IF(G796&lt;&gt;0,1,0)</f>
        <v>0</v>
      </c>
      <c r="B796" s="2169" t="s">
        <v>5368</v>
      </c>
      <c r="C796" s="2131"/>
      <c r="D796" s="2109" t="s">
        <v>5144</v>
      </c>
      <c r="E796" s="2110" t="s">
        <v>5369</v>
      </c>
      <c r="F796" s="2109" t="s">
        <v>2439</v>
      </c>
      <c r="G796" s="2173">
        <f>G788</f>
        <v>0</v>
      </c>
      <c r="H796" s="2112">
        <v>0</v>
      </c>
      <c r="I796" s="2117"/>
      <c r="J796" s="2112" t="s">
        <v>6322</v>
      </c>
      <c r="K796" s="2112">
        <v>0</v>
      </c>
      <c r="L796" s="2118">
        <f>H796*G796</f>
        <v>0</v>
      </c>
      <c r="M796" s="2118">
        <f>I796*G796</f>
        <v>0</v>
      </c>
      <c r="N796" s="2112">
        <v>0</v>
      </c>
      <c r="O796" s="2117">
        <f>K796*G796</f>
        <v>0</v>
      </c>
      <c r="P796" s="2144"/>
    </row>
    <row r="797" spans="1:18" s="2094" customFormat="1" outlineLevel="1">
      <c r="A797" s="2097">
        <f>IF(G797&lt;&gt;0,1,)</f>
        <v>0</v>
      </c>
      <c r="B797" s="2119"/>
      <c r="C797" s="2131">
        <f>IF(G797&gt;0,C788+1,C788)</f>
        <v>0</v>
      </c>
      <c r="D797" s="2213"/>
      <c r="E797" s="2160" t="s">
        <v>6168</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4.4" outlineLevel="1">
      <c r="A798" s="2097">
        <f>A799</f>
        <v>0</v>
      </c>
      <c r="B798" s="2119"/>
      <c r="C798" s="2207"/>
      <c r="D798" s="2243"/>
      <c r="E798" s="2214" t="s">
        <v>6125</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outlineLevel="1">
      <c r="A803" s="2097">
        <f>IF(G803&lt;&gt;0,1,)</f>
        <v>0</v>
      </c>
      <c r="B803" s="2119" t="s">
        <v>516</v>
      </c>
      <c r="C803" s="2131"/>
      <c r="D803" s="2109" t="s">
        <v>5417</v>
      </c>
      <c r="E803" s="2110" t="s">
        <v>5418</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4.4" outlineLevel="1">
      <c r="A805" s="2097" t="str">
        <f>A804</f>
        <v/>
      </c>
      <c r="B805" s="2119"/>
      <c r="C805" s="2131"/>
      <c r="D805" s="2245"/>
      <c r="E805" s="2214" t="s">
        <v>6125</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outlineLevel="1">
      <c r="A806" s="2171" t="str">
        <f t="shared" si="121"/>
        <v/>
      </c>
      <c r="B806" s="2119" t="s">
        <v>1033</v>
      </c>
      <c r="C806" s="2131"/>
      <c r="D806" s="2109">
        <v>0</v>
      </c>
      <c r="E806" s="2110" t="s">
        <v>6323</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outlineLevel="1">
      <c r="A807" s="2171" t="str">
        <f t="shared" si="121"/>
        <v/>
      </c>
      <c r="B807" s="2122" t="s">
        <v>1508</v>
      </c>
      <c r="C807" s="2131"/>
      <c r="D807" s="2109">
        <v>0</v>
      </c>
      <c r="E807" s="2110" t="s">
        <v>5159</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outlineLevel="1">
      <c r="A808" s="2171" t="str">
        <f>IF(G808&lt;&gt;0,1,"")</f>
        <v/>
      </c>
      <c r="B808" s="2122" t="s">
        <v>1585</v>
      </c>
      <c r="C808" s="2116"/>
      <c r="D808" s="2109">
        <v>0</v>
      </c>
      <c r="E808" s="2110" t="s">
        <v>5709</v>
      </c>
      <c r="F808" s="2109" t="s">
        <v>3444</v>
      </c>
      <c r="G808" s="2116">
        <f>+L3*G804</f>
        <v>0</v>
      </c>
      <c r="H808" s="2112">
        <v>0</v>
      </c>
      <c r="I808" s="2112" t="s">
        <v>6169</v>
      </c>
      <c r="J808" s="2112" t="s">
        <v>6324</v>
      </c>
      <c r="K808" s="2112">
        <v>0</v>
      </c>
      <c r="L808" s="2118">
        <f>H808*G808</f>
        <v>0</v>
      </c>
      <c r="M808" s="2117">
        <v>0</v>
      </c>
      <c r="N808" s="2112">
        <v>0</v>
      </c>
      <c r="O808" s="2117">
        <f>K808*G808</f>
        <v>0</v>
      </c>
      <c r="P808" s="2144"/>
    </row>
    <row r="809" spans="1:16" s="2094" customFormat="1"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outlineLevel="1">
      <c r="A812" s="2171" t="str">
        <f>IF(G812&lt;&gt;0,1,"")</f>
        <v/>
      </c>
      <c r="B812" s="2119" t="s">
        <v>6135</v>
      </c>
      <c r="C812" s="2116"/>
      <c r="D812" s="2109" t="s">
        <v>5721</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outlineLevel="1">
      <c r="A813" s="2171" t="str">
        <f t="shared" si="121"/>
        <v/>
      </c>
      <c r="B813" s="2119" t="s">
        <v>6170</v>
      </c>
      <c r="C813" s="2116"/>
      <c r="D813" s="2109" t="s">
        <v>5722</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outlineLevel="1">
      <c r="A815" s="2171" t="str">
        <f t="shared" si="121"/>
        <v/>
      </c>
      <c r="B815" s="2122" t="s">
        <v>525</v>
      </c>
      <c r="C815" s="2131"/>
      <c r="D815" s="2109">
        <v>0</v>
      </c>
      <c r="E815" s="2110" t="s">
        <v>5248</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outlineLevel="1">
      <c r="A816" s="2171" t="str">
        <f t="shared" si="121"/>
        <v/>
      </c>
      <c r="B816" s="2119" t="s">
        <v>2183</v>
      </c>
      <c r="C816" s="2116"/>
      <c r="D816" s="2109" t="s">
        <v>5342</v>
      </c>
      <c r="E816" s="2110" t="s">
        <v>5343</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outlineLevel="1">
      <c r="A817" s="2171" t="str">
        <f t="shared" si="121"/>
        <v/>
      </c>
      <c r="B817" s="2122" t="s">
        <v>902</v>
      </c>
      <c r="C817" s="2116"/>
      <c r="D817" s="2109" t="s">
        <v>5347</v>
      </c>
      <c r="E817" s="2110" t="s">
        <v>5348</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outlineLevel="1">
      <c r="A818" s="2171" t="str">
        <f t="shared" si="121"/>
        <v/>
      </c>
      <c r="B818" s="2119" t="s">
        <v>1055</v>
      </c>
      <c r="C818" s="2116"/>
      <c r="D818" s="2109" t="s">
        <v>5332</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4.4" outlineLevel="1">
      <c r="A820" s="2097">
        <f t="shared" si="122"/>
        <v>0</v>
      </c>
      <c r="B820" s="2119"/>
      <c r="C820" s="2131"/>
      <c r="D820" s="2245"/>
      <c r="E820" s="2214" t="s">
        <v>6125</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outlineLevel="1">
      <c r="A821" s="2097">
        <f t="shared" si="122"/>
        <v>0</v>
      </c>
      <c r="B821" s="2169" t="s">
        <v>5653</v>
      </c>
      <c r="C821" s="2131"/>
      <c r="D821" s="2109" t="s">
        <v>5629</v>
      </c>
      <c r="E821" s="2110" t="s">
        <v>5654</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outlineLevel="1">
      <c r="A823" s="2097">
        <f t="shared" si="122"/>
        <v>0</v>
      </c>
      <c r="B823" s="2119" t="s">
        <v>880</v>
      </c>
      <c r="C823" s="2131"/>
      <c r="D823" s="2245"/>
      <c r="E823" s="2110" t="s">
        <v>5795</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4.4" outlineLevel="1">
      <c r="A825" s="2097">
        <f>A824</f>
        <v>0</v>
      </c>
      <c r="B825" s="2250"/>
      <c r="C825" s="2247"/>
      <c r="D825" s="2248"/>
      <c r="E825" s="2256" t="s">
        <v>6125</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outlineLevel="1">
      <c r="A826" s="2171" t="str">
        <f>IF(G826&lt;&gt;0,1,"")</f>
        <v/>
      </c>
      <c r="B826" s="2250" t="s">
        <v>653</v>
      </c>
      <c r="C826" s="2257"/>
      <c r="D826" s="2141">
        <v>0</v>
      </c>
      <c r="E826" s="2183" t="s">
        <v>5285</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outlineLevel="1">
      <c r="A829" s="2171" t="str">
        <f>IF(G829&lt;&gt;0,1,"")</f>
        <v/>
      </c>
      <c r="B829" s="2250" t="s">
        <v>654</v>
      </c>
      <c r="C829" s="2257"/>
      <c r="D829" s="2141" t="s">
        <v>5467</v>
      </c>
      <c r="E829" s="2183" t="s">
        <v>5470</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4.4" outlineLevel="1">
      <c r="A831" s="2171" t="str">
        <f>A830</f>
        <v/>
      </c>
      <c r="B831" s="2250"/>
      <c r="C831" s="2247"/>
      <c r="D831" s="2248"/>
      <c r="E831" s="2263" t="s">
        <v>6125</v>
      </c>
      <c r="F831" s="2247"/>
      <c r="G831" s="2252"/>
      <c r="H831" s="2253"/>
      <c r="I831" s="2253"/>
      <c r="J831" s="2253"/>
      <c r="K831" s="2253"/>
      <c r="L831" s="2253"/>
      <c r="M831" s="2253"/>
      <c r="N831" s="2253"/>
      <c r="O831" s="2253"/>
      <c r="P831" s="2254"/>
      <c r="Q831" s="2255"/>
      <c r="R831" s="2255"/>
      <c r="S831" s="2255"/>
    </row>
    <row r="832" spans="1:20" s="2094" customFormat="1"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outlineLevel="1">
      <c r="A833" s="2171" t="str">
        <f>IF(G833&lt;&gt;0,1,"")</f>
        <v/>
      </c>
      <c r="B833" s="2250" t="s">
        <v>86</v>
      </c>
      <c r="C833" s="2257"/>
      <c r="D833" s="2141">
        <v>0</v>
      </c>
      <c r="E833" s="2183" t="s">
        <v>5793</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outlineLevel="1">
      <c r="A834" s="2097">
        <f>IF(G834&lt;&gt;0,1,0)</f>
        <v>0</v>
      </c>
      <c r="B834" s="2119"/>
      <c r="C834" s="2131">
        <f>IF(G834&gt;0,C830+1,C830)</f>
        <v>0</v>
      </c>
      <c r="D834" s="2245"/>
      <c r="E834" s="2264" t="s">
        <v>6157</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4.4" outlineLevel="1">
      <c r="A835" s="2097">
        <f>A834</f>
        <v>0</v>
      </c>
      <c r="B835" s="2119"/>
      <c r="C835" s="2131"/>
      <c r="D835" s="2245"/>
      <c r="E835" s="2214" t="s">
        <v>6125</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outlineLevel="1">
      <c r="A836" s="2097">
        <f>A835</f>
        <v>0</v>
      </c>
      <c r="B836" s="2148" t="s">
        <v>697</v>
      </c>
      <c r="C836" s="2131"/>
      <c r="D836" s="2109">
        <v>0</v>
      </c>
      <c r="E836" s="2110" t="s">
        <v>5083</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outlineLevel="1">
      <c r="A838" s="2097">
        <f>A837</f>
        <v>0</v>
      </c>
      <c r="B838" s="2107" t="s">
        <v>1477</v>
      </c>
      <c r="C838" s="2131"/>
      <c r="D838" s="2109"/>
      <c r="E838" s="2110" t="s">
        <v>4333</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outlineLevel="1">
      <c r="A839" s="2097">
        <f>IF(G839&lt;&gt;0,1,0)</f>
        <v>0</v>
      </c>
      <c r="B839" s="2169" t="s">
        <v>5700</v>
      </c>
      <c r="C839" s="2116"/>
      <c r="D839" s="2109">
        <v>0</v>
      </c>
      <c r="E839" s="2110" t="s">
        <v>4536</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outlineLevel="1">
      <c r="A840" s="2097">
        <f>IF(G840&lt;&gt;0,1,0)</f>
        <v>0</v>
      </c>
      <c r="B840" s="2107" t="s">
        <v>5695</v>
      </c>
      <c r="C840" s="2116"/>
      <c r="D840" s="2109">
        <v>0</v>
      </c>
      <c r="E840" s="2110" t="s">
        <v>5696</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outlineLevel="1">
      <c r="A841" s="2097">
        <f>IF(G841&lt;&gt;0,1,0)</f>
        <v>0</v>
      </c>
      <c r="B841" s="2107" t="s">
        <v>5701</v>
      </c>
      <c r="C841" s="2116"/>
      <c r="D841" s="2109">
        <v>0</v>
      </c>
      <c r="E841" s="2110" t="s">
        <v>5702</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outlineLevel="1">
      <c r="A842" s="2097">
        <f>IF(G842&lt;&gt;0,1,0)</f>
        <v>0</v>
      </c>
      <c r="B842" s="2107" t="s">
        <v>5703</v>
      </c>
      <c r="C842" s="2116"/>
      <c r="D842" s="2109">
        <v>0</v>
      </c>
      <c r="E842" s="2110" t="s">
        <v>5704</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outlineLevel="1">
      <c r="A843" s="2171" t="str">
        <f>IF(G843&lt;&gt;0,1,"")</f>
        <v/>
      </c>
      <c r="B843" s="2119" t="s">
        <v>6135</v>
      </c>
      <c r="C843" s="2116"/>
      <c r="D843" s="2109" t="s">
        <v>5721</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outlineLevel="1">
      <c r="A844" s="2171" t="str">
        <f>IF(G844&lt;&gt;0,1,"")</f>
        <v/>
      </c>
      <c r="B844" s="2119" t="s">
        <v>6170</v>
      </c>
      <c r="C844" s="2116"/>
      <c r="D844" s="2109" t="s">
        <v>5722</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outlineLevel="1">
      <c r="A845" s="2171" t="str">
        <f>IF(G845&lt;&gt;0,1,"")</f>
        <v/>
      </c>
      <c r="B845" s="2119" t="s">
        <v>6171</v>
      </c>
      <c r="C845" s="2116"/>
      <c r="D845" s="2109" t="s">
        <v>5721</v>
      </c>
      <c r="E845" s="2110" t="s">
        <v>5756</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outlineLevel="1">
      <c r="A846" s="2171" t="str">
        <f>IF(G846&lt;&gt;0,1,"")</f>
        <v/>
      </c>
      <c r="B846" s="2119" t="s">
        <v>6172</v>
      </c>
      <c r="C846" s="2116"/>
      <c r="D846" s="2109" t="s">
        <v>5722</v>
      </c>
      <c r="E846" s="2110" t="s">
        <v>5758</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outlineLevel="1">
      <c r="A847" s="2097">
        <f>A838</f>
        <v>0</v>
      </c>
      <c r="B847" s="2107" t="s">
        <v>1525</v>
      </c>
      <c r="C847" s="2131"/>
      <c r="D847" s="2109" t="s">
        <v>5567</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outlineLevel="1">
      <c r="A848" s="2171" t="str">
        <f>IF(G848&lt;&gt;0,1,"")</f>
        <v/>
      </c>
      <c r="B848" s="2119"/>
      <c r="C848" s="2131">
        <f>IF(G848&gt;0,C834+1,C834)</f>
        <v>0</v>
      </c>
      <c r="D848" s="2245"/>
      <c r="E848" s="2265" t="s">
        <v>6173</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4.4" outlineLevel="1">
      <c r="A849" s="2097" t="str">
        <f>A848</f>
        <v/>
      </c>
      <c r="B849" s="2119"/>
      <c r="C849" s="2131"/>
      <c r="D849" s="2245"/>
      <c r="E849" s="2266" t="s">
        <v>6125</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27.6" outlineLevel="1">
      <c r="A850" s="2171" t="str">
        <f t="shared" ref="A850:A879" si="123">IF(G850&lt;&gt;0,1,"")</f>
        <v/>
      </c>
      <c r="B850" s="2119" t="s">
        <v>32</v>
      </c>
      <c r="C850" s="2116"/>
      <c r="D850" s="2109">
        <v>0</v>
      </c>
      <c r="E850" s="2267" t="s">
        <v>6325</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outlineLevel="1">
      <c r="A851" s="2171" t="str">
        <f t="shared" si="123"/>
        <v/>
      </c>
      <c r="B851" s="2119" t="s">
        <v>1406</v>
      </c>
      <c r="C851" s="2116"/>
      <c r="D851" s="2109">
        <v>0</v>
      </c>
      <c r="E851" s="2110" t="s">
        <v>6326</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outlineLevel="1">
      <c r="A852" s="2171" t="str">
        <f t="shared" si="123"/>
        <v/>
      </c>
      <c r="B852" s="2119" t="s">
        <v>6174</v>
      </c>
      <c r="C852" s="2116"/>
      <c r="D852" s="2109">
        <v>0</v>
      </c>
      <c r="E852" s="2110" t="s">
        <v>6327</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outlineLevel="1">
      <c r="A854" s="2171" t="str">
        <f t="shared" si="123"/>
        <v/>
      </c>
      <c r="B854" s="2119" t="s">
        <v>6175</v>
      </c>
      <c r="C854" s="2116"/>
      <c r="D854" s="2109" t="s">
        <v>5724</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outlineLevel="1">
      <c r="A855" s="2171" t="str">
        <f t="shared" si="123"/>
        <v/>
      </c>
      <c r="B855" s="2119" t="s">
        <v>2143</v>
      </c>
      <c r="C855" s="2116"/>
      <c r="D855" s="2109" t="s">
        <v>5724</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outlineLevel="1">
      <c r="A856" s="2171" t="str">
        <f t="shared" si="123"/>
        <v/>
      </c>
      <c r="B856" s="2119" t="s">
        <v>6134</v>
      </c>
      <c r="C856" s="2116"/>
      <c r="D856" s="2109" t="s">
        <v>5720</v>
      </c>
      <c r="E856" s="2110" t="s">
        <v>5733</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outlineLevel="1">
      <c r="A857" s="2171" t="str">
        <f t="shared" si="123"/>
        <v/>
      </c>
      <c r="B857" s="2119" t="s">
        <v>6176</v>
      </c>
      <c r="C857" s="2116"/>
      <c r="D857" s="2109" t="s">
        <v>5723</v>
      </c>
      <c r="E857" s="2110" t="s">
        <v>5760</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outlineLevel="1">
      <c r="A858" s="2171" t="str">
        <f t="shared" si="123"/>
        <v/>
      </c>
      <c r="B858" s="2119" t="s">
        <v>6177</v>
      </c>
      <c r="C858" s="2116"/>
      <c r="D858" s="2109" t="s">
        <v>5724</v>
      </c>
      <c r="E858" s="2110" t="s">
        <v>5762</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outlineLevel="1">
      <c r="A859" s="2171" t="str">
        <f t="shared" si="123"/>
        <v/>
      </c>
      <c r="B859" s="2119" t="s">
        <v>6178</v>
      </c>
      <c r="C859" s="2116"/>
      <c r="D859" s="2109" t="s">
        <v>5720</v>
      </c>
      <c r="E859" s="2110" t="s">
        <v>5754</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outlineLevel="1">
      <c r="A862" s="2171" t="str">
        <f t="shared" si="123"/>
        <v/>
      </c>
      <c r="B862" s="2122" t="s">
        <v>672</v>
      </c>
      <c r="C862" s="2116"/>
      <c r="D862" s="2109">
        <v>0</v>
      </c>
      <c r="E862" s="2110" t="s">
        <v>5797</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outlineLevel="1">
      <c r="A866" s="2171" t="str">
        <f t="shared" si="123"/>
        <v/>
      </c>
      <c r="B866" s="2169" t="s">
        <v>5798</v>
      </c>
      <c r="C866" s="2116"/>
      <c r="D866" s="2109">
        <v>0</v>
      </c>
      <c r="E866" s="2110" t="s">
        <v>5799</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outlineLevel="1">
      <c r="A868" s="2171" t="str">
        <f t="shared" si="123"/>
        <v/>
      </c>
      <c r="B868" s="2169" t="s">
        <v>1740</v>
      </c>
      <c r="C868" s="2116"/>
      <c r="D868" s="2109">
        <v>0</v>
      </c>
      <c r="E868" s="2110" t="s">
        <v>5791</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outlineLevel="1">
      <c r="A871" s="2171" t="str">
        <f t="shared" si="123"/>
        <v/>
      </c>
      <c r="B871" s="2122" t="s">
        <v>1862</v>
      </c>
      <c r="C871" s="2116"/>
      <c r="D871" s="2109">
        <v>0</v>
      </c>
      <c r="E871" s="2110" t="s">
        <v>5254</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outlineLevel="1">
      <c r="A875" s="2171" t="str">
        <f t="shared" si="123"/>
        <v/>
      </c>
      <c r="B875" s="2119" t="s">
        <v>1179</v>
      </c>
      <c r="C875" s="2116"/>
      <c r="D875" s="2109">
        <v>0</v>
      </c>
      <c r="E875" s="2110" t="s">
        <v>3566</v>
      </c>
      <c r="F875" s="2109" t="s">
        <v>5802</v>
      </c>
      <c r="G875" s="2173"/>
      <c r="H875" s="2112">
        <v>45000</v>
      </c>
      <c r="I875" s="2117"/>
      <c r="J875" s="2112">
        <v>0</v>
      </c>
      <c r="K875" s="2112">
        <v>0</v>
      </c>
      <c r="L875" s="2198">
        <f>H875*G875</f>
        <v>0</v>
      </c>
      <c r="M875" s="2198">
        <f>I875*G875</f>
        <v>0</v>
      </c>
      <c r="N875" s="2198">
        <f>J875*G875</f>
        <v>0</v>
      </c>
      <c r="O875" s="2199">
        <f>K875*G875</f>
        <v>0</v>
      </c>
      <c r="P875" s="2144"/>
    </row>
    <row r="876" spans="1:16" s="2094" customFormat="1" outlineLevel="1">
      <c r="A876" s="2171" t="str">
        <f t="shared" si="123"/>
        <v/>
      </c>
      <c r="B876" s="2119" t="s">
        <v>1863</v>
      </c>
      <c r="C876" s="2116"/>
      <c r="D876" s="2109" t="s">
        <v>5544</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outlineLevel="1">
      <c r="A877" s="2171" t="str">
        <f t="shared" si="123"/>
        <v/>
      </c>
      <c r="B877" s="2122" t="s">
        <v>1525</v>
      </c>
      <c r="C877" s="2116"/>
      <c r="D877" s="2109" t="s">
        <v>5567</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outlineLevel="1">
      <c r="A878" s="2171" t="str">
        <f t="shared" si="123"/>
        <v/>
      </c>
      <c r="B878" s="2122" t="s">
        <v>6179</v>
      </c>
      <c r="C878" s="2116"/>
      <c r="D878" s="2109" t="s">
        <v>5489</v>
      </c>
      <c r="E878" s="2110" t="s">
        <v>5497</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5708</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outlineLevel="1">
      <c r="A880" s="2171"/>
      <c r="B880" s="2119"/>
      <c r="C880" s="2149">
        <f>C879+1</f>
        <v>1</v>
      </c>
      <c r="D880" s="2278"/>
      <c r="E880" s="2271" t="s">
        <v>6180</v>
      </c>
      <c r="F880" s="2109"/>
      <c r="G880" s="2279"/>
      <c r="H880" s="2112"/>
      <c r="I880" s="2152"/>
      <c r="J880" s="2112"/>
      <c r="K880" s="2112"/>
      <c r="L880" s="2280"/>
      <c r="M880" s="2280"/>
      <c r="N880" s="2280"/>
      <c r="O880" s="2281"/>
      <c r="P880" s="2144"/>
    </row>
    <row r="881" spans="1:16" s="2094" customFormat="1" outlineLevel="1">
      <c r="A881" s="2171" t="str">
        <f t="shared" ref="A881:A887" si="124">IF(G881&lt;&gt;0,1,"")</f>
        <v/>
      </c>
      <c r="B881" s="2282" t="s">
        <v>5196</v>
      </c>
      <c r="C881" s="2149"/>
      <c r="D881" s="2278"/>
      <c r="E881" s="2283" t="s">
        <v>4758</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outlineLevel="1">
      <c r="A882" s="2171" t="str">
        <f t="shared" si="124"/>
        <v/>
      </c>
      <c r="B882" s="2284" t="s">
        <v>6181</v>
      </c>
      <c r="C882" s="2149"/>
      <c r="D882" s="2278"/>
      <c r="E882" s="2110" t="s">
        <v>5071</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outlineLevel="1">
      <c r="A883" s="2171" t="str">
        <f t="shared" si="124"/>
        <v/>
      </c>
      <c r="B883" s="2261" t="s">
        <v>5224</v>
      </c>
      <c r="C883" s="2149"/>
      <c r="D883" s="2278"/>
      <c r="E883" s="2110" t="s">
        <v>5225</v>
      </c>
      <c r="F883" s="2109" t="s">
        <v>5170</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outlineLevel="1">
      <c r="A884" s="2171" t="str">
        <f t="shared" si="124"/>
        <v/>
      </c>
      <c r="B884" s="2282" t="s">
        <v>5196</v>
      </c>
      <c r="C884" s="2149"/>
      <c r="D884" s="2278"/>
      <c r="E884" s="2283" t="s">
        <v>4758</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outlineLevel="1">
      <c r="A885" s="2171" t="str">
        <f t="shared" si="124"/>
        <v/>
      </c>
      <c r="B885" s="2284" t="s">
        <v>525</v>
      </c>
      <c r="C885" s="2149"/>
      <c r="D885" s="2278"/>
      <c r="E885" s="2110" t="s">
        <v>5248</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outlineLevel="1">
      <c r="A886" s="2171" t="str">
        <f t="shared" si="124"/>
        <v/>
      </c>
      <c r="B886" s="2261" t="s">
        <v>5224</v>
      </c>
      <c r="C886" s="2149"/>
      <c r="D886" s="2278"/>
      <c r="E886" s="2110" t="s">
        <v>5225</v>
      </c>
      <c r="F886" s="2109" t="s">
        <v>5170</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27.6" outlineLevel="1">
      <c r="A887" s="2171" t="str">
        <f t="shared" si="124"/>
        <v/>
      </c>
      <c r="B887" s="2119" t="s">
        <v>36</v>
      </c>
      <c r="C887" s="2149"/>
      <c r="D887" s="2278"/>
      <c r="E887" s="2267" t="s">
        <v>6328</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outlineLevel="1">
      <c r="A888" s="2171"/>
      <c r="B888" s="2119"/>
      <c r="C888" s="2149">
        <f>C880+1</f>
        <v>2</v>
      </c>
      <c r="D888" s="2278"/>
      <c r="E888" s="2271" t="s">
        <v>6182</v>
      </c>
      <c r="F888" s="2109"/>
      <c r="G888" s="2279"/>
      <c r="H888" s="2112"/>
      <c r="I888" s="2152"/>
      <c r="J888" s="2112"/>
      <c r="K888" s="2112"/>
      <c r="L888" s="2280"/>
      <c r="M888" s="2280"/>
      <c r="N888" s="2280"/>
      <c r="O888" s="2281"/>
      <c r="P888" s="2144"/>
    </row>
    <row r="889" spans="1:16" s="2094" customFormat="1"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outlineLevel="1">
      <c r="A891" s="2171" t="str">
        <f t="shared" si="129"/>
        <v/>
      </c>
      <c r="B891" s="2122" t="s">
        <v>1568</v>
      </c>
      <c r="C891" s="2149"/>
      <c r="D891" s="2278"/>
      <c r="E891" s="2110" t="s">
        <v>5223</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outlineLevel="1">
      <c r="A892" s="2171" t="str">
        <f t="shared" si="129"/>
        <v/>
      </c>
      <c r="B892" s="2122" t="s">
        <v>6141</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outlineLevel="1">
      <c r="A893" s="2171" t="str">
        <f t="shared" si="129"/>
        <v/>
      </c>
      <c r="B893" s="2122" t="s">
        <v>6183</v>
      </c>
      <c r="C893" s="2149"/>
      <c r="D893" s="2278"/>
      <c r="E893" s="2110" t="s">
        <v>5247</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outlineLevel="1">
      <c r="A896" s="2171" t="str">
        <f t="shared" si="129"/>
        <v/>
      </c>
      <c r="B896" s="2119" t="s">
        <v>672</v>
      </c>
      <c r="C896" s="2149"/>
      <c r="D896" s="2278"/>
      <c r="E896" s="2110" t="s">
        <v>5797</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outlineLevel="1">
      <c r="A897" s="2171" t="str">
        <f t="shared" si="129"/>
        <v/>
      </c>
      <c r="B897" s="2122" t="s">
        <v>689</v>
      </c>
      <c r="C897" s="2149"/>
      <c r="D897" s="2109" t="s">
        <v>5565</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outlineLevel="1">
      <c r="A898" s="2171" t="str">
        <f t="shared" si="129"/>
        <v/>
      </c>
      <c r="B898" s="2122" t="s">
        <v>452</v>
      </c>
      <c r="C898" s="2149"/>
      <c r="D898" s="2109" t="s">
        <v>5564</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outlineLevel="1">
      <c r="A899" s="2171" t="str">
        <f t="shared" si="129"/>
        <v/>
      </c>
      <c r="B899" s="2122" t="s">
        <v>1895</v>
      </c>
      <c r="C899" s="2149"/>
      <c r="D899" s="2109" t="s">
        <v>5563</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outlineLevel="1">
      <c r="A900" s="2097"/>
      <c r="B900" s="2201"/>
      <c r="C900" s="2124"/>
      <c r="D900" s="2125"/>
      <c r="E900" s="2206"/>
      <c r="F900" s="2618"/>
      <c r="G900" s="2618"/>
      <c r="H900" s="2618"/>
      <c r="I900" s="2618"/>
      <c r="J900" s="2646" t="s">
        <v>6123</v>
      </c>
      <c r="K900" s="2646"/>
      <c r="L900" s="2287">
        <f>SUM(L757:M899)</f>
        <v>0</v>
      </c>
      <c r="M900" s="2287"/>
      <c r="N900" s="2287">
        <f>SUM(N757:O899)</f>
        <v>296544.75</v>
      </c>
      <c r="O900" s="2287">
        <f>SUM(O757:P899)</f>
        <v>0</v>
      </c>
      <c r="P900" s="2288"/>
    </row>
    <row r="901" spans="1:16" s="2094" customFormat="1"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outlineLevel="1">
      <c r="A902" s="2138"/>
      <c r="B902" s="2201"/>
      <c r="C902" s="2138"/>
      <c r="D902" s="2289"/>
      <c r="E902" s="2133" t="s">
        <v>6184</v>
      </c>
      <c r="F902" s="2619"/>
      <c r="G902" s="2619"/>
      <c r="H902" s="2619"/>
      <c r="I902" s="2619"/>
      <c r="J902" s="2290"/>
      <c r="K902" s="2290"/>
      <c r="L902" s="2291"/>
      <c r="M902" s="2291"/>
      <c r="N902" s="2291"/>
      <c r="O902" s="2291"/>
    </row>
    <row r="903" spans="1:16" s="2094" customFormat="1"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outlineLevel="1">
      <c r="A904" s="2097" t="str">
        <f>A903</f>
        <v/>
      </c>
      <c r="B904" s="2119" t="s">
        <v>6104</v>
      </c>
      <c r="C904" s="2637" t="s">
        <v>1708</v>
      </c>
      <c r="D904" s="2638" t="s">
        <v>2597</v>
      </c>
      <c r="E904" s="2640" t="s">
        <v>2598</v>
      </c>
      <c r="F904" s="2637" t="s">
        <v>2593</v>
      </c>
      <c r="G904" s="2098" t="s">
        <v>6105</v>
      </c>
      <c r="H904" s="2101" t="s">
        <v>6106</v>
      </c>
      <c r="I904" s="2608"/>
      <c r="J904" s="2608"/>
      <c r="K904" s="2609"/>
      <c r="L904" s="2101" t="s">
        <v>6107</v>
      </c>
      <c r="M904" s="2608"/>
      <c r="N904" s="2608"/>
      <c r="O904" s="2609"/>
      <c r="P904" s="2637" t="s">
        <v>2599</v>
      </c>
    </row>
    <row r="905" spans="1:16" s="2094" customFormat="1" outlineLevel="1">
      <c r="A905" s="2097" t="str">
        <f>A904</f>
        <v/>
      </c>
      <c r="B905" s="2119"/>
      <c r="C905" s="2637"/>
      <c r="D905" s="2639"/>
      <c r="E905" s="2641"/>
      <c r="F905" s="2637"/>
      <c r="G905" s="2100" t="s">
        <v>2286</v>
      </c>
      <c r="H905" s="2101" t="s">
        <v>6108</v>
      </c>
      <c r="I905" s="2101" t="s">
        <v>6109</v>
      </c>
      <c r="J905" s="2101" t="s">
        <v>6110</v>
      </c>
      <c r="K905" s="2101" t="s">
        <v>6111</v>
      </c>
      <c r="L905" s="2101" t="s">
        <v>6108</v>
      </c>
      <c r="M905" s="2101" t="s">
        <v>6109</v>
      </c>
      <c r="N905" s="2101" t="s">
        <v>6110</v>
      </c>
      <c r="O905" s="2101" t="s">
        <v>6111</v>
      </c>
      <c r="P905" s="2637"/>
    </row>
    <row r="906" spans="1:16" s="2094" customFormat="1"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outlineLevel="1">
      <c r="A907" s="2097" t="str">
        <f>IF(G907&lt;&gt;0,1,"")</f>
        <v/>
      </c>
      <c r="B907" s="2107" t="str">
        <f>IF($F$8=22,"TR501","TR50")</f>
        <v>TR501</v>
      </c>
      <c r="C907" s="2108">
        <f>IF(G907&gt;0,1,0)</f>
        <v>0</v>
      </c>
      <c r="D907" s="2109" t="s">
        <v>5580</v>
      </c>
      <c r="E907" s="2110" t="s">
        <v>5583</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outlineLevel="1">
      <c r="A908" s="2097" t="str">
        <f t="shared" ref="A908:A914" si="138">IF(G908&lt;&gt;0,1,"")</f>
        <v/>
      </c>
      <c r="B908" s="2107" t="str">
        <f>"FCO100-"&amp;$F$8</f>
        <v>FCO100-22</v>
      </c>
      <c r="C908" s="2108">
        <f t="shared" ref="C908:C914" si="139">IF(G908&gt;0,C907+1,C907)</f>
        <v>0</v>
      </c>
      <c r="D908" s="2109" t="s">
        <v>5594</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outlineLevel="1">
      <c r="A910" s="2097" t="str">
        <f t="shared" si="138"/>
        <v/>
      </c>
      <c r="B910" s="2119" t="str">
        <f>IF($F$6=12,"LA12","LA18")</f>
        <v>LA18</v>
      </c>
      <c r="C910" s="2108">
        <f t="shared" si="139"/>
        <v>0</v>
      </c>
      <c r="D910" s="2109" t="s">
        <v>5598</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outlineLevel="1">
      <c r="A911" s="2097" t="str">
        <f t="shared" si="138"/>
        <v/>
      </c>
      <c r="B911" s="2107" t="s">
        <v>710</v>
      </c>
      <c r="C911" s="2108">
        <f t="shared" si="139"/>
        <v>0</v>
      </c>
      <c r="D911" s="2109">
        <v>0</v>
      </c>
      <c r="E911" s="2110" t="s">
        <v>5678</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outlineLevel="1">
      <c r="A915" s="2097" t="str">
        <f>A914</f>
        <v/>
      </c>
      <c r="B915" s="2119"/>
      <c r="C915" s="2297"/>
      <c r="D915" s="2298"/>
      <c r="E915" s="2299"/>
      <c r="F915" s="2297"/>
      <c r="G915" s="2617"/>
      <c r="H915" s="2297"/>
      <c r="I915" s="2297"/>
      <c r="J915" s="2106" t="s">
        <v>6113</v>
      </c>
      <c r="K915" s="2297"/>
      <c r="L915" s="2299">
        <f>SUM(L907:L914)</f>
        <v>0</v>
      </c>
      <c r="M915" s="2299"/>
      <c r="N915" s="2299">
        <f>SUM(N907:N914)</f>
        <v>0</v>
      </c>
      <c r="O915" s="2299">
        <f>SUM(O907:O914)</f>
        <v>0</v>
      </c>
      <c r="P915" s="2288"/>
    </row>
    <row r="916" spans="1:18" s="2094" customFormat="1"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4.4" outlineLevel="1">
      <c r="A918" s="2097" t="str">
        <f>A917</f>
        <v/>
      </c>
      <c r="B918" s="2119"/>
      <c r="C918" s="2134"/>
      <c r="D918" s="2307"/>
      <c r="E918" s="2308" t="s">
        <v>6125</v>
      </c>
      <c r="F918" s="2108"/>
      <c r="G918" s="2309"/>
      <c r="H918" s="2310"/>
      <c r="I918" s="2310"/>
      <c r="J918" s="2310"/>
      <c r="K918" s="2310"/>
      <c r="L918" s="2310"/>
      <c r="M918" s="2310"/>
      <c r="N918" s="2310"/>
      <c r="O918" s="2311"/>
      <c r="P918" s="2144"/>
    </row>
    <row r="919" spans="1:18" s="2094" customFormat="1" outlineLevel="1">
      <c r="A919" s="2097" t="str">
        <f>IF(G919&lt;&gt;0,1,"")</f>
        <v/>
      </c>
      <c r="B919" s="2122" t="s">
        <v>1041</v>
      </c>
      <c r="C919" s="2134"/>
      <c r="D919" s="2109">
        <v>0</v>
      </c>
      <c r="E919" s="2110" t="s">
        <v>5713</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outlineLevel="1">
      <c r="A922" s="2097" t="str">
        <f>IF(G922&lt;&gt;0,1,"")</f>
        <v/>
      </c>
      <c r="B922" s="2122" t="s">
        <v>5716</v>
      </c>
      <c r="C922" s="2134"/>
      <c r="D922" s="2109" t="s">
        <v>5422</v>
      </c>
      <c r="E922" s="2110" t="s">
        <v>5717</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outlineLevel="1">
      <c r="A923" s="2097">
        <f>IF(G923&lt;&gt;0,1,)</f>
        <v>0</v>
      </c>
      <c r="B923" s="2119"/>
      <c r="C923" s="2134">
        <f>IF(G923&gt;0,C917+1,C917)</f>
        <v>0</v>
      </c>
      <c r="D923" s="2135"/>
      <c r="E923" s="2136" t="s">
        <v>6130</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4.4" outlineLevel="1">
      <c r="A924" s="2097">
        <f>A923</f>
        <v>0</v>
      </c>
      <c r="B924" s="2119"/>
      <c r="C924" s="2131"/>
      <c r="D924" s="2135"/>
      <c r="E924" s="2137" t="s">
        <v>6125</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4.4" outlineLevel="1">
      <c r="A929" s="2097">
        <f>A928</f>
        <v>0</v>
      </c>
      <c r="B929" s="2119"/>
      <c r="C929" s="2131"/>
      <c r="D929" s="2135"/>
      <c r="E929" s="2137" t="s">
        <v>6125</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outlineLevel="1">
      <c r="A930" s="2097">
        <f>IF(G930&lt;&gt;0,1,)</f>
        <v>0</v>
      </c>
      <c r="B930" s="2122" t="s">
        <v>636</v>
      </c>
      <c r="C930" s="2116"/>
      <c r="D930" s="2109" t="s">
        <v>5043</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outlineLevel="1">
      <c r="A931" s="2097">
        <f>IF(G931&lt;&gt;0,1,)</f>
        <v>0</v>
      </c>
      <c r="B931" s="2122" t="s">
        <v>566</v>
      </c>
      <c r="C931" s="2116"/>
      <c r="D931" s="2109">
        <v>0</v>
      </c>
      <c r="E931" s="2110" t="s">
        <v>5068</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outlineLevel="1">
      <c r="A932" s="2097">
        <f>IF(G932&lt;&gt;0,1,)</f>
        <v>0</v>
      </c>
      <c r="B932" s="2122" t="s">
        <v>639</v>
      </c>
      <c r="C932" s="2116"/>
      <c r="D932" s="2109" t="s">
        <v>1747</v>
      </c>
      <c r="E932" s="2110" t="s">
        <v>5320</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outlineLevel="1">
      <c r="A933" s="2097">
        <f>IF(G933&lt;&gt;0,1,)</f>
        <v>0</v>
      </c>
      <c r="B933" s="2122" t="s">
        <v>21</v>
      </c>
      <c r="C933" s="2116"/>
      <c r="D933" s="2109" t="s">
        <v>5321</v>
      </c>
      <c r="E933" s="2110" t="s">
        <v>5322</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outlineLevel="1">
      <c r="A934" s="2097">
        <f>IF(G934&lt;&gt;0,1,0)</f>
        <v>0</v>
      </c>
      <c r="B934" s="2122" t="s">
        <v>6151</v>
      </c>
      <c r="C934" s="2131">
        <f>IF(G934&gt;0,C928+1,C928)</f>
        <v>0</v>
      </c>
      <c r="D934" s="2191"/>
      <c r="E934" s="2160" t="s">
        <v>6152</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4.4" outlineLevel="1">
      <c r="A935" s="2097">
        <f>A934</f>
        <v>0</v>
      </c>
      <c r="B935" s="2119"/>
      <c r="C935" s="2131"/>
      <c r="D935" s="2191"/>
      <c r="E935" s="2161" t="s">
        <v>6125</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outlineLevel="1">
      <c r="A936" s="2097">
        <f t="shared" ref="A936:A941" si="144">IF(G936&lt;&gt;0,1,0)</f>
        <v>0</v>
      </c>
      <c r="B936" s="2122" t="s">
        <v>5147</v>
      </c>
      <c r="C936" s="2131"/>
      <c r="D936" s="2109">
        <v>0</v>
      </c>
      <c r="E936" s="2110" t="s">
        <v>5148</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outlineLevel="1">
      <c r="A937" s="2097">
        <f t="shared" si="144"/>
        <v>0</v>
      </c>
      <c r="B937" s="2122" t="s">
        <v>5154</v>
      </c>
      <c r="C937" s="2131"/>
      <c r="D937" s="2109">
        <v>0</v>
      </c>
      <c r="E937" s="2110" t="s">
        <v>5155</v>
      </c>
      <c r="F937" s="2109" t="s">
        <v>5156</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outlineLevel="1">
      <c r="A938" s="2097">
        <f t="shared" si="144"/>
        <v>0</v>
      </c>
      <c r="B938" s="2119" t="s">
        <v>488</v>
      </c>
      <c r="C938" s="2131"/>
      <c r="D938" s="2109">
        <v>0</v>
      </c>
      <c r="E938" s="2110" t="s">
        <v>5074</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outlineLevel="1">
      <c r="A942" s="2097">
        <f>IF(G942&lt;&gt;0,1,0)</f>
        <v>0</v>
      </c>
      <c r="B942" s="2169" t="s">
        <v>5368</v>
      </c>
      <c r="C942" s="2131"/>
      <c r="D942" s="2109" t="s">
        <v>5144</v>
      </c>
      <c r="E942" s="2110" t="s">
        <v>5369</v>
      </c>
      <c r="F942" s="2109" t="s">
        <v>2439</v>
      </c>
      <c r="G942" s="2180">
        <f>G934</f>
        <v>0</v>
      </c>
      <c r="H942" s="2112">
        <v>0</v>
      </c>
      <c r="I942" s="2117"/>
      <c r="J942" s="2112" t="s">
        <v>6329</v>
      </c>
      <c r="K942" s="2112">
        <v>0</v>
      </c>
      <c r="L942" s="2118">
        <f>H942*G942</f>
        <v>0</v>
      </c>
      <c r="M942" s="2118">
        <f>I942*G942</f>
        <v>0</v>
      </c>
      <c r="N942" s="2112">
        <v>0</v>
      </c>
      <c r="O942" s="2117">
        <f>K942*G942</f>
        <v>0</v>
      </c>
      <c r="P942" s="2144"/>
    </row>
    <row r="943" spans="1:18" s="2094" customFormat="1"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4.4" outlineLevel="1">
      <c r="A944" s="2097">
        <f>A943</f>
        <v>0</v>
      </c>
      <c r="B944" s="2119"/>
      <c r="C944" s="2134"/>
      <c r="D944" s="2307"/>
      <c r="E944" s="2308" t="s">
        <v>6125</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outlineLevel="1">
      <c r="A946" s="2097" t="str">
        <f t="shared" si="145"/>
        <v/>
      </c>
      <c r="B946" s="2122" t="s">
        <v>1508</v>
      </c>
      <c r="C946" s="2108"/>
      <c r="D946" s="2109">
        <v>0</v>
      </c>
      <c r="E946" s="2110" t="s">
        <v>5159</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outlineLevel="1">
      <c r="A948" s="2097" t="str">
        <f>IF(G948&lt;&gt;0,1,"")</f>
        <v/>
      </c>
      <c r="B948" s="2122" t="s">
        <v>6142</v>
      </c>
      <c r="C948" s="2116"/>
      <c r="D948" s="2109">
        <v>0</v>
      </c>
      <c r="E948" s="2110" t="s">
        <v>5792</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outlineLevel="1">
      <c r="A951" s="2097" t="str">
        <f>IF(G951&lt;&gt;0,1,"")</f>
        <v/>
      </c>
      <c r="B951" s="2119" t="s">
        <v>6185</v>
      </c>
      <c r="C951" s="2108"/>
      <c r="D951" s="2109" t="s">
        <v>5721</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outlineLevel="1">
      <c r="A952" s="2097" t="str">
        <f>IF(G952&lt;&gt;0,1,"")</f>
        <v/>
      </c>
      <c r="B952" s="2119" t="s">
        <v>6186</v>
      </c>
      <c r="C952" s="2108"/>
      <c r="D952" s="2109" t="s">
        <v>5722</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outlineLevel="1">
      <c r="A954" s="2097" t="str">
        <f>IF(G954&lt;&gt;0,1,"")</f>
        <v/>
      </c>
      <c r="B954" s="2119" t="s">
        <v>5177</v>
      </c>
      <c r="C954" s="2108"/>
      <c r="D954" s="2109">
        <v>0</v>
      </c>
      <c r="E954" s="2110" t="s">
        <v>5178</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outlineLevel="1">
      <c r="A955" s="2097" t="str">
        <f>IF(G955&lt;&gt;0,1,"")</f>
        <v/>
      </c>
      <c r="B955" s="2119" t="s">
        <v>5179</v>
      </c>
      <c r="C955" s="2108"/>
      <c r="D955" s="2109">
        <v>0</v>
      </c>
      <c r="E955" s="2110" t="s">
        <v>5180</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outlineLevel="1">
      <c r="A956" s="2097" t="str">
        <f t="shared" si="145"/>
        <v/>
      </c>
      <c r="B956" s="2122" t="s">
        <v>525</v>
      </c>
      <c r="C956" s="2108"/>
      <c r="D956" s="2109">
        <v>0</v>
      </c>
      <c r="E956" s="2110" t="s">
        <v>5248</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outlineLevel="1">
      <c r="A957" s="2097" t="str">
        <f>IF(G957&lt;&gt;0,1,"")</f>
        <v/>
      </c>
      <c r="B957" s="2119" t="s">
        <v>6143</v>
      </c>
      <c r="C957" s="2108"/>
      <c r="D957" s="2109">
        <v>0</v>
      </c>
      <c r="E957" s="2110" t="s">
        <v>5709</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outlineLevel="1">
      <c r="A958" s="2097" t="str">
        <f>IF(G958&lt;&gt;0,1,"")</f>
        <v/>
      </c>
      <c r="B958" s="2119" t="s">
        <v>2183</v>
      </c>
      <c r="C958" s="2108"/>
      <c r="D958" s="2109" t="s">
        <v>5342</v>
      </c>
      <c r="E958" s="2110" t="s">
        <v>5343</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outlineLevel="1">
      <c r="A959" s="2097" t="str">
        <f>IF(G959&lt;&gt;0,1,"")</f>
        <v/>
      </c>
      <c r="B959" s="2122" t="s">
        <v>902</v>
      </c>
      <c r="C959" s="2108"/>
      <c r="D959" s="2109" t="s">
        <v>5347</v>
      </c>
      <c r="E959" s="2110" t="s">
        <v>5348</v>
      </c>
      <c r="F959" s="2109" t="s">
        <v>2278</v>
      </c>
      <c r="G959" s="2180">
        <f>G946</f>
        <v>0</v>
      </c>
      <c r="H959" s="2112">
        <v>0</v>
      </c>
      <c r="I959" s="2112"/>
      <c r="J959" s="2118" t="s">
        <v>6304</v>
      </c>
      <c r="K959" s="2118">
        <v>0</v>
      </c>
      <c r="L959" s="2118">
        <f>H959*$G959</f>
        <v>0</v>
      </c>
      <c r="M959" s="2118">
        <f>I959*$G959</f>
        <v>0</v>
      </c>
      <c r="N959" s="2118">
        <v>0</v>
      </c>
      <c r="O959" s="2294">
        <f>K959*G959</f>
        <v>0</v>
      </c>
      <c r="P959" s="2144"/>
    </row>
    <row r="960" spans="1:16" s="2094" customFormat="1" outlineLevel="1">
      <c r="A960" s="2097" t="str">
        <f>IF(G960&lt;&gt;0,1,"")</f>
        <v/>
      </c>
      <c r="B960" s="2119" t="s">
        <v>1055</v>
      </c>
      <c r="C960" s="2108"/>
      <c r="D960" s="2109" t="s">
        <v>5332</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outlineLevel="1">
      <c r="A961" s="2315">
        <f>+IF(G961&gt;0,1,0)</f>
        <v>0</v>
      </c>
      <c r="B961" s="2315"/>
      <c r="C961" s="2316">
        <f>IF(G961&gt;0,C943+1,C943)</f>
        <v>0</v>
      </c>
      <c r="D961" s="2317"/>
      <c r="E961" s="2318" t="s">
        <v>6187</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outlineLevel="1">
      <c r="A962" s="2097" t="str">
        <f>IF(G962&lt;&gt;0,1,"")</f>
        <v/>
      </c>
      <c r="B962" s="2169" t="s">
        <v>5653</v>
      </c>
      <c r="C962" s="2326"/>
      <c r="D962" s="2109" t="s">
        <v>5629</v>
      </c>
      <c r="E962" s="2110" t="s">
        <v>5654</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outlineLevel="1">
      <c r="A963" s="2097" t="str">
        <f>IF(G963&lt;&gt;0,1,"")</f>
        <v/>
      </c>
      <c r="B963" s="2119" t="s">
        <v>319</v>
      </c>
      <c r="C963" s="2108"/>
      <c r="D963" s="2109">
        <v>0</v>
      </c>
      <c r="E963" s="2110" t="s">
        <v>5265</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outlineLevel="1">
      <c r="A964" s="2097" t="str">
        <f>IF(G964&lt;&gt;0,1,"")</f>
        <v/>
      </c>
      <c r="B964" s="2119" t="s">
        <v>880</v>
      </c>
      <c r="C964" s="2108"/>
      <c r="D964" s="2327"/>
      <c r="E964" s="2110" t="s">
        <v>5795</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outlineLevel="1">
      <c r="A965" s="2315">
        <f>+IF(G965&gt;0,1,0)</f>
        <v>0</v>
      </c>
      <c r="B965" s="2119"/>
      <c r="C965" s="2134">
        <f>IF(G965&gt;0,C961+1,C961)</f>
        <v>0</v>
      </c>
      <c r="D965" s="2307"/>
      <c r="E965" s="2328" t="s">
        <v>6157</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4.4" outlineLevel="1">
      <c r="A966" s="2097">
        <f>A965</f>
        <v>0</v>
      </c>
      <c r="B966" s="2119"/>
      <c r="C966" s="2134"/>
      <c r="D966" s="2307"/>
      <c r="E966" s="2308" t="s">
        <v>6125</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outlineLevel="1">
      <c r="A967" s="2097" t="str">
        <f>IF(G967&lt;&gt;0,1,"")</f>
        <v/>
      </c>
      <c r="B967" s="2122" t="s">
        <v>697</v>
      </c>
      <c r="C967" s="2108"/>
      <c r="D967" s="2109">
        <v>0</v>
      </c>
      <c r="E967" s="2110" t="s">
        <v>5083</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outlineLevel="1">
      <c r="A970" s="2097" t="str">
        <f>IF(G970&lt;&gt;0,1,"")</f>
        <v/>
      </c>
      <c r="B970" s="2107" t="s">
        <v>1477</v>
      </c>
      <c r="C970" s="2108"/>
      <c r="D970" s="2109"/>
      <c r="E970" s="2110" t="s">
        <v>4333</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outlineLevel="1">
      <c r="A971" s="2097">
        <f>IF(G971&lt;&gt;0,1,0)</f>
        <v>0</v>
      </c>
      <c r="B971" s="2107" t="s">
        <v>5695</v>
      </c>
      <c r="C971" s="2116"/>
      <c r="D971" s="2109">
        <v>0</v>
      </c>
      <c r="E971" s="2110" t="s">
        <v>5696</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outlineLevel="1">
      <c r="A972" s="2097">
        <f>IF(G972&lt;&gt;0,1,0)</f>
        <v>0</v>
      </c>
      <c r="B972" s="2107" t="s">
        <v>5701</v>
      </c>
      <c r="C972" s="2116"/>
      <c r="D972" s="2109">
        <v>0</v>
      </c>
      <c r="E972" s="2110" t="s">
        <v>5702</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outlineLevel="1">
      <c r="A973" s="2097">
        <f>IF(G973&lt;&gt;0,1,0)</f>
        <v>0</v>
      </c>
      <c r="B973" s="2107" t="s">
        <v>5703</v>
      </c>
      <c r="C973" s="2116"/>
      <c r="D973" s="2109">
        <v>0</v>
      </c>
      <c r="E973" s="2110" t="s">
        <v>5704</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outlineLevel="1">
      <c r="A974" s="2097">
        <f>IF(G974&lt;&gt;0,1,0)</f>
        <v>0</v>
      </c>
      <c r="B974" s="2107" t="s">
        <v>6148</v>
      </c>
      <c r="C974" s="2116"/>
      <c r="D974" s="2109">
        <v>0</v>
      </c>
      <c r="E974" s="2110" t="s">
        <v>4536</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outlineLevel="1">
      <c r="A975" s="2097" t="str">
        <f>IF(G975&lt;&gt;0,1,"")</f>
        <v/>
      </c>
      <c r="B975" s="2107" t="s">
        <v>1525</v>
      </c>
      <c r="C975" s="2108"/>
      <c r="D975" s="2109" t="s">
        <v>5567</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outlineLevel="1">
      <c r="A976" s="2097" t="str">
        <f>A970</f>
        <v/>
      </c>
      <c r="B976" s="2119"/>
      <c r="C976" s="2134">
        <f>IF(G976&gt;0,C965+1,C965)</f>
        <v>0</v>
      </c>
      <c r="D976" s="2307"/>
      <c r="E976" s="2329" t="s">
        <v>6188</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4.4" outlineLevel="1">
      <c r="A977" s="2097" t="str">
        <f>A976</f>
        <v/>
      </c>
      <c r="B977" s="2119"/>
      <c r="C977" s="2134"/>
      <c r="D977" s="2307"/>
      <c r="E977" s="2330" t="s">
        <v>6125</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outlineLevel="1">
      <c r="A978" s="2097" t="str">
        <f>IF(G978&lt;&gt;0,1,"")</f>
        <v/>
      </c>
      <c r="B978" s="2119" t="s">
        <v>6150</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outlineLevel="1">
      <c r="A981" s="2097" t="str">
        <f t="shared" si="150"/>
        <v/>
      </c>
      <c r="B981" s="2119" t="s">
        <v>6189</v>
      </c>
      <c r="C981" s="2108"/>
      <c r="D981" s="2109" t="s">
        <v>5725</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outlineLevel="1">
      <c r="A982" s="2097" t="str">
        <f t="shared" si="150"/>
        <v/>
      </c>
      <c r="B982" s="2119" t="s">
        <v>6190</v>
      </c>
      <c r="C982" s="2108"/>
      <c r="D982" s="2109" t="s">
        <v>5721</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outlineLevel="1">
      <c r="A983" s="2097" t="str">
        <f t="shared" si="150"/>
        <v/>
      </c>
      <c r="B983" s="2119" t="s">
        <v>6191</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outlineLevel="1">
      <c r="A986" s="2097" t="str">
        <f t="shared" si="150"/>
        <v/>
      </c>
      <c r="B986" s="2122" t="s">
        <v>1862</v>
      </c>
      <c r="C986" s="2108"/>
      <c r="D986" s="2109">
        <v>0</v>
      </c>
      <c r="E986" s="2110" t="s">
        <v>5254</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outlineLevel="1">
      <c r="A987" s="2097" t="str">
        <f t="shared" si="150"/>
        <v/>
      </c>
      <c r="B987" s="2119" t="s">
        <v>70</v>
      </c>
      <c r="C987" s="2108"/>
      <c r="D987" s="2109">
        <v>0</v>
      </c>
      <c r="E987" s="2110" t="s">
        <v>5793</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outlineLevel="1">
      <c r="A991" s="2097" t="str">
        <f t="shared" si="150"/>
        <v/>
      </c>
      <c r="B991" s="2119" t="s">
        <v>489</v>
      </c>
      <c r="C991" s="2108"/>
      <c r="D991" s="2109">
        <v>0</v>
      </c>
      <c r="E991" s="2110" t="s">
        <v>3566</v>
      </c>
      <c r="F991" s="2109" t="s">
        <v>5802</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outlineLevel="1">
      <c r="A992" s="2097" t="str">
        <f t="shared" si="150"/>
        <v/>
      </c>
      <c r="B992" s="2122" t="s">
        <v>672</v>
      </c>
      <c r="C992" s="2108"/>
      <c r="D992" s="2109">
        <v>0</v>
      </c>
      <c r="E992" s="2110" t="s">
        <v>5797</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outlineLevel="1">
      <c r="A993" s="2097" t="str">
        <f t="shared" si="150"/>
        <v/>
      </c>
      <c r="B993" s="2119" t="s">
        <v>2182</v>
      </c>
      <c r="C993" s="2116"/>
      <c r="D993" s="2109" t="s">
        <v>5543</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outlineLevel="1">
      <c r="A994" s="2097" t="str">
        <f t="shared" si="150"/>
        <v/>
      </c>
      <c r="B994" s="2122" t="s">
        <v>1525</v>
      </c>
      <c r="C994" s="2116"/>
      <c r="D994" s="2109" t="s">
        <v>5567</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outlineLevel="1">
      <c r="A995" s="2097" t="str">
        <f t="shared" si="150"/>
        <v/>
      </c>
      <c r="B995" s="2119" t="s">
        <v>289</v>
      </c>
      <c r="C995" s="2331">
        <f>IF(G995&gt;0,C976+1,C976)</f>
        <v>0</v>
      </c>
      <c r="D995" s="2332"/>
      <c r="E995" s="2110" t="s">
        <v>5708</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outlineLevel="1">
      <c r="A996" s="2097" t="str">
        <f>A995</f>
        <v/>
      </c>
      <c r="B996" s="2119"/>
      <c r="C996" s="2335"/>
      <c r="D996" s="2336"/>
      <c r="E996" s="2302"/>
      <c r="F996" s="2620"/>
      <c r="G996" s="2620"/>
      <c r="H996" s="2620"/>
      <c r="I996" s="2620"/>
      <c r="J996" s="2645" t="s">
        <v>6123</v>
      </c>
      <c r="K996" s="2645"/>
      <c r="L996" s="2337">
        <f>SUM(L919:L995)</f>
        <v>0</v>
      </c>
      <c r="M996" s="2337"/>
      <c r="N996" s="2337">
        <f>SUM(N919:N995)</f>
        <v>0</v>
      </c>
      <c r="O996" s="2337">
        <f>SUM(O919:O995)</f>
        <v>0</v>
      </c>
      <c r="P996" s="2338"/>
    </row>
    <row r="997" spans="1:18" s="2094" customFormat="1" outlineLevel="1">
      <c r="A997" s="2097"/>
      <c r="B997" s="2119"/>
      <c r="C997" s="2339"/>
      <c r="D997" s="2339"/>
      <c r="E997" s="2340"/>
      <c r="F997" s="2621"/>
      <c r="G997" s="2621"/>
      <c r="H997" s="2621"/>
      <c r="I997" s="2621"/>
      <c r="J997" s="2340"/>
      <c r="K997" s="2340"/>
      <c r="L997" s="2341"/>
      <c r="M997" s="2341"/>
      <c r="N997" s="2341"/>
      <c r="O997" s="2341"/>
    </row>
    <row r="998" spans="1:18" s="2094" customFormat="1"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outlineLevel="1">
      <c r="A999" s="2138"/>
      <c r="B999" s="2201"/>
      <c r="C999" s="2138"/>
      <c r="D999" s="2289"/>
      <c r="E999" s="2133" t="s">
        <v>6192</v>
      </c>
      <c r="F999" s="2619"/>
      <c r="G999" s="2619"/>
      <c r="H999" s="2619"/>
      <c r="I999" s="2619"/>
      <c r="J999" s="2290"/>
      <c r="K999" s="2290"/>
      <c r="L999" s="2291"/>
      <c r="M999" s="2291"/>
      <c r="N999" s="2291"/>
      <c r="O999" s="2291"/>
    </row>
    <row r="1000" spans="1:18" s="2094" customFormat="1"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outlineLevel="1">
      <c r="A1001" s="2097" t="str">
        <f>A1000</f>
        <v/>
      </c>
      <c r="B1001" s="2119" t="s">
        <v>6104</v>
      </c>
      <c r="C1001" s="2637" t="s">
        <v>1708</v>
      </c>
      <c r="D1001" s="2638" t="s">
        <v>2597</v>
      </c>
      <c r="E1001" s="2640" t="s">
        <v>2598</v>
      </c>
      <c r="F1001" s="2637" t="s">
        <v>2593</v>
      </c>
      <c r="G1001" s="2098" t="s">
        <v>6105</v>
      </c>
      <c r="H1001" s="2101" t="s">
        <v>6106</v>
      </c>
      <c r="I1001" s="2608"/>
      <c r="J1001" s="2608"/>
      <c r="K1001" s="2609"/>
      <c r="L1001" s="2101" t="s">
        <v>6107</v>
      </c>
      <c r="M1001" s="2608"/>
      <c r="N1001" s="2608"/>
      <c r="O1001" s="2609"/>
      <c r="P1001" s="2637" t="s">
        <v>2599</v>
      </c>
    </row>
    <row r="1002" spans="1:18" s="2094" customFormat="1" outlineLevel="1">
      <c r="A1002" s="2097" t="str">
        <f>A1001</f>
        <v/>
      </c>
      <c r="B1002" s="2119"/>
      <c r="C1002" s="2637"/>
      <c r="D1002" s="2639"/>
      <c r="E1002" s="2641"/>
      <c r="F1002" s="2637"/>
      <c r="G1002" s="2100" t="s">
        <v>2286</v>
      </c>
      <c r="H1002" s="2101" t="s">
        <v>6108</v>
      </c>
      <c r="I1002" s="2101" t="s">
        <v>6109</v>
      </c>
      <c r="J1002" s="2101" t="s">
        <v>6110</v>
      </c>
      <c r="K1002" s="2101" t="s">
        <v>6111</v>
      </c>
      <c r="L1002" s="2101" t="s">
        <v>6108</v>
      </c>
      <c r="M1002" s="2101" t="s">
        <v>6109</v>
      </c>
      <c r="N1002" s="2101" t="s">
        <v>6110</v>
      </c>
      <c r="O1002" s="2101" t="s">
        <v>6111</v>
      </c>
      <c r="P1002" s="2637"/>
    </row>
    <row r="1003" spans="1:18" s="2094" customFormat="1"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outlineLevel="1">
      <c r="A1004" s="2097" t="str">
        <f t="shared" ref="A1004:A1013" si="151">IF(G1004&lt;&gt;0,1,"")</f>
        <v/>
      </c>
      <c r="B1004" s="2107" t="s">
        <v>6193</v>
      </c>
      <c r="C1004" s="2108">
        <f>IF(G1004&gt;0,1,0)</f>
        <v>0</v>
      </c>
      <c r="D1004" s="2109" t="s">
        <v>5582</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6165</v>
      </c>
    </row>
    <row r="1005" spans="1:18" s="2094" customFormat="1" outlineLevel="1">
      <c r="A1005" s="2097" t="str">
        <f t="shared" si="151"/>
        <v/>
      </c>
      <c r="B1005" s="2107" t="str">
        <f>"FCO100-"&amp;$F$8</f>
        <v>FCO100-22</v>
      </c>
      <c r="C1005" s="2108">
        <f t="shared" ref="C1005:C1013" si="156">IF(G1005&gt;0,C1004+1,C1004)</f>
        <v>0</v>
      </c>
      <c r="D1005" s="2109" t="s">
        <v>5594</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27.6" outlineLevel="1">
      <c r="A1006" s="2171" t="str">
        <f>IF(G1006&lt;&gt;0,1,"")</f>
        <v/>
      </c>
      <c r="B1006" s="2346" t="str">
        <f>"FCO100-"&amp;$F$8</f>
        <v>FCO100-22</v>
      </c>
      <c r="C1006" s="2257">
        <f>IF(G1006&gt;0,C1005+1,C1005)</f>
        <v>0</v>
      </c>
      <c r="D1006" s="2141" t="s">
        <v>5594</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6194</v>
      </c>
      <c r="R1006" s="2094"/>
    </row>
    <row r="1007" spans="1:18" s="2094" customFormat="1"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outlineLevel="1">
      <c r="A1008" s="2097" t="str">
        <f t="shared" si="151"/>
        <v/>
      </c>
      <c r="B1008" s="2119" t="str">
        <f>IF($F$6=12,"LA12","LA18")</f>
        <v>LA18</v>
      </c>
      <c r="C1008" s="2108">
        <f t="shared" si="156"/>
        <v>0</v>
      </c>
      <c r="D1008" s="2109" t="s">
        <v>5598</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1.4" outlineLevel="1">
      <c r="A1009" s="2171" t="str">
        <f>IF(G1009&lt;&gt;0,1,"")</f>
        <v/>
      </c>
      <c r="B1009" s="2250" t="str">
        <f>IF($F$6=12,"LA12","LA18")</f>
        <v>LA18</v>
      </c>
      <c r="C1009" s="2257">
        <f>IF(G1009&gt;0,C1008+1,C1008)</f>
        <v>0</v>
      </c>
      <c r="D1009" s="2141" t="s">
        <v>5598</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6195</v>
      </c>
      <c r="R1009" s="2094"/>
    </row>
    <row r="1010" spans="1:18" s="2094" customFormat="1" outlineLevel="1">
      <c r="A1010" s="2138" t="str">
        <f t="shared" si="151"/>
        <v/>
      </c>
      <c r="B1010" s="2262" t="s">
        <v>1459</v>
      </c>
      <c r="C1010" s="2108">
        <f>IF(G1010&gt;0,C1008+1,C1008)</f>
        <v>0</v>
      </c>
      <c r="D1010" s="2109">
        <v>0</v>
      </c>
      <c r="E1010" s="2110" t="s">
        <v>5683</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outlineLevel="1">
      <c r="A1012" s="2097" t="str">
        <f t="shared" si="151"/>
        <v/>
      </c>
      <c r="B1012" s="2148" t="s">
        <v>6196</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outlineLevel="1">
      <c r="A1014" s="2097" t="str">
        <f>A1004</f>
        <v/>
      </c>
      <c r="B1014" s="2119"/>
      <c r="C1014" s="2297"/>
      <c r="D1014" s="2298"/>
      <c r="E1014" s="2299"/>
      <c r="F1014" s="2297"/>
      <c r="G1014" s="2357"/>
      <c r="H1014" s="2297"/>
      <c r="I1014" s="2297"/>
      <c r="J1014" s="2106" t="s">
        <v>6113</v>
      </c>
      <c r="K1014" s="2297"/>
      <c r="L1014" s="2299">
        <f>SUM(L1004:L1013)</f>
        <v>0</v>
      </c>
      <c r="M1014" s="2299"/>
      <c r="N1014" s="2299">
        <f>SUM(N1004:N1013)</f>
        <v>0</v>
      </c>
      <c r="O1014" s="2299">
        <f>SUM(O1004:O1013)</f>
        <v>0</v>
      </c>
      <c r="P1014" s="2358"/>
    </row>
    <row r="1015" spans="1:18" s="2094" customFormat="1"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6165</v>
      </c>
    </row>
    <row r="1017" spans="1:18" s="2094" customFormat="1" ht="14.4" outlineLevel="1">
      <c r="A1017" s="2097" t="str">
        <f>A1016</f>
        <v/>
      </c>
      <c r="B1017" s="2119"/>
      <c r="C1017" s="2134"/>
      <c r="D1017" s="2307"/>
      <c r="E1017" s="2308" t="s">
        <v>6125</v>
      </c>
      <c r="F1017" s="2108"/>
      <c r="G1017" s="2352"/>
      <c r="H1017" s="2310"/>
      <c r="I1017" s="2310"/>
      <c r="J1017" s="2310"/>
      <c r="K1017" s="2310"/>
      <c r="L1017" s="2310"/>
      <c r="M1017" s="2310"/>
      <c r="N1017" s="2310"/>
      <c r="O1017" s="2311"/>
      <c r="P1017" s="2362"/>
    </row>
    <row r="1018" spans="1:18" s="2094" customFormat="1" outlineLevel="1">
      <c r="A1018" s="2097" t="str">
        <f>IF(G1018&lt;&gt;0,1,"")</f>
        <v/>
      </c>
      <c r="B1018" s="2122" t="s">
        <v>5718</v>
      </c>
      <c r="C1018" s="2134"/>
      <c r="D1018" s="2109" t="s">
        <v>691</v>
      </c>
      <c r="E1018" s="2110" t="s">
        <v>5719</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outlineLevel="1">
      <c r="A1021" s="2097">
        <f>IF(G1021&lt;&gt;0,1,)</f>
        <v>0</v>
      </c>
      <c r="B1021" s="2119"/>
      <c r="C1021" s="2134">
        <f>IF(G1021&gt;0,C1016+1,C1016)</f>
        <v>0</v>
      </c>
      <c r="D1021" s="2135"/>
      <c r="E1021" s="2136" t="s">
        <v>6130</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4.4" outlineLevel="1">
      <c r="A1022" s="2097">
        <f>A1021</f>
        <v>0</v>
      </c>
      <c r="B1022" s="2119"/>
      <c r="C1022" s="2131"/>
      <c r="D1022" s="2135"/>
      <c r="E1022" s="2137" t="s">
        <v>6125</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4.4" outlineLevel="1">
      <c r="A1027" s="2097">
        <f>A1026</f>
        <v>0</v>
      </c>
      <c r="B1027" s="2119"/>
      <c r="C1027" s="2131"/>
      <c r="D1027" s="2135"/>
      <c r="E1027" s="2137" t="s">
        <v>6125</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outlineLevel="1">
      <c r="A1028" s="2097">
        <f>IF(G1028&lt;&gt;0,1,)</f>
        <v>0</v>
      </c>
      <c r="B1028" s="2122" t="s">
        <v>636</v>
      </c>
      <c r="C1028" s="2116"/>
      <c r="D1028" s="2109" t="s">
        <v>5043</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outlineLevel="1">
      <c r="A1029" s="2097">
        <f>IF(G1029&lt;&gt;0,1,)</f>
        <v>0</v>
      </c>
      <c r="B1029" s="2122" t="s">
        <v>566</v>
      </c>
      <c r="C1029" s="2116"/>
      <c r="D1029" s="2109">
        <v>0</v>
      </c>
      <c r="E1029" s="2110" t="s">
        <v>5068</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outlineLevel="1">
      <c r="A1030" s="2097">
        <f>IF(G1030&lt;&gt;0,1,)</f>
        <v>0</v>
      </c>
      <c r="B1030" s="2122" t="s">
        <v>639</v>
      </c>
      <c r="C1030" s="2116"/>
      <c r="D1030" s="2109" t="s">
        <v>1747</v>
      </c>
      <c r="E1030" s="2110" t="s">
        <v>5320</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outlineLevel="1">
      <c r="A1031" s="2097">
        <f>IF(G1031&lt;&gt;0,1,)</f>
        <v>0</v>
      </c>
      <c r="B1031" s="2122" t="s">
        <v>21</v>
      </c>
      <c r="C1031" s="2116"/>
      <c r="D1031" s="2109" t="s">
        <v>5321</v>
      </c>
      <c r="E1031" s="2110" t="s">
        <v>5322</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outlineLevel="1">
      <c r="A1032" s="2097">
        <f>IF(G1032&lt;&gt;0,1,0)</f>
        <v>0</v>
      </c>
      <c r="B1032" s="2122" t="s">
        <v>6151</v>
      </c>
      <c r="C1032" s="2131">
        <f>IF(G1032&gt;0,C1026+1,C1026)</f>
        <v>0</v>
      </c>
      <c r="D1032" s="2191"/>
      <c r="E1032" s="2160" t="s">
        <v>6152</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6197</v>
      </c>
    </row>
    <row r="1033" spans="1:18" s="2094" customFormat="1" ht="14.4" outlineLevel="1">
      <c r="A1033" s="2097">
        <f>A1032</f>
        <v>0</v>
      </c>
      <c r="B1033" s="2119"/>
      <c r="C1033" s="2131"/>
      <c r="D1033" s="2191"/>
      <c r="E1033" s="2161" t="s">
        <v>6125</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outlineLevel="1">
      <c r="A1034" s="2097">
        <f t="shared" ref="A1034:A1039" si="161">IF(G1034&lt;&gt;0,1,0)</f>
        <v>0</v>
      </c>
      <c r="B1034" s="2122" t="s">
        <v>5147</v>
      </c>
      <c r="C1034" s="2131"/>
      <c r="D1034" s="2109">
        <v>0</v>
      </c>
      <c r="E1034" s="2110" t="s">
        <v>5148</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outlineLevel="1">
      <c r="A1035" s="2097">
        <f t="shared" si="161"/>
        <v>0</v>
      </c>
      <c r="B1035" s="2122" t="s">
        <v>5154</v>
      </c>
      <c r="C1035" s="2131"/>
      <c r="D1035" s="2109">
        <v>0</v>
      </c>
      <c r="E1035" s="2110" t="s">
        <v>5155</v>
      </c>
      <c r="F1035" s="2109" t="s">
        <v>5156</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outlineLevel="1">
      <c r="A1036" s="2097">
        <f t="shared" si="161"/>
        <v>0</v>
      </c>
      <c r="B1036" s="2119" t="s">
        <v>488</v>
      </c>
      <c r="C1036" s="2131"/>
      <c r="D1036" s="2109">
        <v>0</v>
      </c>
      <c r="E1036" s="2110" t="s">
        <v>5074</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outlineLevel="1">
      <c r="A1040" s="2097">
        <f>IF(G1040&lt;&gt;0,1,0)</f>
        <v>0</v>
      </c>
      <c r="B1040" s="2119" t="s">
        <v>420</v>
      </c>
      <c r="C1040" s="2131"/>
      <c r="D1040" s="2109" t="s">
        <v>5417</v>
      </c>
      <c r="E1040" s="2110" t="s">
        <v>5418</v>
      </c>
      <c r="F1040" s="2109" t="s">
        <v>2439</v>
      </c>
      <c r="G1040" s="2364">
        <f>G1032*0</f>
        <v>0</v>
      </c>
      <c r="H1040" s="2112">
        <v>0</v>
      </c>
      <c r="I1040" s="2117"/>
      <c r="J1040" s="2112" t="s">
        <v>6318</v>
      </c>
      <c r="K1040" s="2112">
        <v>0</v>
      </c>
      <c r="L1040" s="2118">
        <f t="shared" si="157"/>
        <v>0</v>
      </c>
      <c r="M1040" s="2118">
        <f>I1040*G1040</f>
        <v>0</v>
      </c>
      <c r="N1040" s="2112">
        <v>0</v>
      </c>
      <c r="O1040" s="2117">
        <f t="shared" si="160"/>
        <v>0</v>
      </c>
      <c r="P1040" s="2362"/>
    </row>
    <row r="1041" spans="1:16" s="2094" customFormat="1"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6197</v>
      </c>
    </row>
    <row r="1042" spans="1:16" s="2094" customFormat="1" ht="14.4" outlineLevel="1">
      <c r="A1042" s="2097">
        <f>A1041</f>
        <v>0</v>
      </c>
      <c r="B1042" s="2119"/>
      <c r="C1042" s="2134"/>
      <c r="D1042" s="2307"/>
      <c r="E1042" s="2308" t="s">
        <v>6125</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6198</v>
      </c>
    </row>
    <row r="1044" spans="1:16" s="2094" customFormat="1" outlineLevel="1">
      <c r="A1044" s="2097" t="str">
        <f t="shared" si="163"/>
        <v/>
      </c>
      <c r="B1044" s="2122" t="s">
        <v>1508</v>
      </c>
      <c r="C1044" s="2108"/>
      <c r="D1044" s="2109">
        <v>0</v>
      </c>
      <c r="E1044" s="2110" t="s">
        <v>5159</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outlineLevel="1">
      <c r="A1045" s="2097" t="str">
        <f t="shared" si="163"/>
        <v/>
      </c>
      <c r="B1045" s="2122" t="s">
        <v>6199</v>
      </c>
      <c r="C1045" s="2108"/>
      <c r="D1045" s="2109">
        <v>0</v>
      </c>
      <c r="E1045" s="2110" t="s">
        <v>5709</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6198</v>
      </c>
    </row>
    <row r="1048" spans="1:16" s="2094" customFormat="1" outlineLevel="1">
      <c r="A1048" s="2097" t="str">
        <f t="shared" si="163"/>
        <v/>
      </c>
      <c r="B1048" s="2119" t="s">
        <v>6200</v>
      </c>
      <c r="C1048" s="2108"/>
      <c r="D1048" s="2109" t="s">
        <v>5721</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6198</v>
      </c>
    </row>
    <row r="1049" spans="1:16" s="2094" customFormat="1"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6198</v>
      </c>
    </row>
    <row r="1050" spans="1:16" s="2094" customFormat="1" outlineLevel="1">
      <c r="A1050" s="2097" t="str">
        <f t="shared" si="163"/>
        <v/>
      </c>
      <c r="B1050" s="2122" t="s">
        <v>525</v>
      </c>
      <c r="C1050" s="2108"/>
      <c r="D1050" s="2109">
        <v>0</v>
      </c>
      <c r="E1050" s="2110" t="s">
        <v>5248</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outlineLevel="1">
      <c r="A1051" s="2097" t="str">
        <f t="shared" si="163"/>
        <v/>
      </c>
      <c r="B1051" s="2122" t="s">
        <v>794</v>
      </c>
      <c r="C1051" s="2108"/>
      <c r="D1051" s="2109" t="s">
        <v>5332</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outlineLevel="1">
      <c r="A1052" s="2097" t="str">
        <f t="shared" si="163"/>
        <v/>
      </c>
      <c r="B1052" s="2122" t="s">
        <v>798</v>
      </c>
      <c r="C1052" s="2108"/>
      <c r="D1052" s="2109" t="s">
        <v>5321</v>
      </c>
      <c r="E1052" s="2110" t="s">
        <v>5333</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outlineLevel="1">
      <c r="A1053" s="2097" t="str">
        <f t="shared" si="163"/>
        <v/>
      </c>
      <c r="B1053" s="2122" t="s">
        <v>902</v>
      </c>
      <c r="C1053" s="2108"/>
      <c r="D1053" s="2109" t="s">
        <v>5347</v>
      </c>
      <c r="E1053" s="2110" t="s">
        <v>5348</v>
      </c>
      <c r="F1053" s="2109" t="s">
        <v>2278</v>
      </c>
      <c r="G1053" s="2244">
        <f>G1044</f>
        <v>0</v>
      </c>
      <c r="H1053" s="2112">
        <v>0</v>
      </c>
      <c r="I1053" s="2112"/>
      <c r="J1053" s="2118" t="s">
        <v>6304</v>
      </c>
      <c r="K1053" s="2118">
        <v>0</v>
      </c>
      <c r="L1053" s="2118">
        <f>H1053*$G1053</f>
        <v>0</v>
      </c>
      <c r="M1053" s="2118">
        <f>I1053*$G1053</f>
        <v>0</v>
      </c>
      <c r="N1053" s="2118">
        <v>0</v>
      </c>
      <c r="O1053" s="2294">
        <f t="shared" si="160"/>
        <v>0</v>
      </c>
      <c r="P1053" s="2144"/>
    </row>
    <row r="1054" spans="1:16" s="2094" customFormat="1" outlineLevel="1">
      <c r="A1054" s="2097" t="str">
        <f t="shared" si="163"/>
        <v/>
      </c>
      <c r="B1054" s="2122" t="s">
        <v>1437</v>
      </c>
      <c r="C1054" s="2108"/>
      <c r="D1054" s="2109" t="s">
        <v>5342</v>
      </c>
      <c r="E1054" s="2110" t="s">
        <v>5343</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outlineLevel="1">
      <c r="A1055" s="2315">
        <f>+IF(G1055&gt;0,1,0)</f>
        <v>0</v>
      </c>
      <c r="B1055" s="2250"/>
      <c r="C1055" s="2247">
        <f>IF(G1055&gt;0,C1049+4,C1049)</f>
        <v>0</v>
      </c>
      <c r="D1055" s="2248"/>
      <c r="E1055" s="2365" t="s">
        <v>6201</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6197</v>
      </c>
    </row>
    <row r="1056" spans="1:16" s="2094" customFormat="1" ht="14.4" outlineLevel="1">
      <c r="A1056" s="2097">
        <f>A1055</f>
        <v>0</v>
      </c>
      <c r="B1056" s="2250"/>
      <c r="C1056" s="2247"/>
      <c r="D1056" s="2248"/>
      <c r="E1056" s="2256" t="s">
        <v>6125</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outlineLevel="1">
      <c r="A1057" s="2097" t="str">
        <f>IF(G1057&lt;&gt;0,1,"")</f>
        <v/>
      </c>
      <c r="B1057" s="2110" t="s">
        <v>5653</v>
      </c>
      <c r="C1057" s="2257"/>
      <c r="D1057" s="2141" t="s">
        <v>5629</v>
      </c>
      <c r="E1057" s="2183" t="s">
        <v>5654</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outlineLevel="1">
      <c r="A1058" s="2097" t="str">
        <f>IF(G1058&lt;&gt;0,1,"")</f>
        <v/>
      </c>
      <c r="B1058" s="2250" t="s">
        <v>880</v>
      </c>
      <c r="C1058" s="2247"/>
      <c r="D1058" s="2141">
        <v>0</v>
      </c>
      <c r="E1058" s="2183" t="s">
        <v>5795</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outlineLevel="1">
      <c r="A1059" s="2097" t="str">
        <f>IF(G1059&lt;&gt;0,1,"")</f>
        <v/>
      </c>
      <c r="B1059" s="2250" t="s">
        <v>289</v>
      </c>
      <c r="C1059" s="2247"/>
      <c r="D1059" s="2141">
        <v>0</v>
      </c>
      <c r="E1059" s="2183" t="s">
        <v>5708</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outlineLevel="1">
      <c r="A1061" s="2097" t="str">
        <f t="shared" si="168"/>
        <v/>
      </c>
      <c r="B1061" s="2250"/>
      <c r="C1061" s="2247">
        <f>IF(G1061&gt;0,C1054+1,C1054)</f>
        <v>0</v>
      </c>
      <c r="D1061" s="2248"/>
      <c r="E1061" s="2365" t="s">
        <v>6202</v>
      </c>
      <c r="F1061" s="2247" t="s">
        <v>2385</v>
      </c>
      <c r="G1061" s="2368">
        <f>G1004/3*0</f>
        <v>0</v>
      </c>
      <c r="H1061" s="2112"/>
      <c r="I1061" s="2117"/>
      <c r="J1061" s="2112"/>
      <c r="K1061" s="2112"/>
      <c r="L1061" s="2293"/>
      <c r="M1061" s="2293"/>
      <c r="N1061" s="2293"/>
      <c r="O1061" s="2294"/>
      <c r="P1061" s="2144"/>
    </row>
    <row r="1062" spans="1:18" s="2094" customFormat="1" ht="14.4" outlineLevel="1">
      <c r="A1062" s="2097" t="str">
        <f t="shared" si="168"/>
        <v/>
      </c>
      <c r="B1062" s="2250"/>
      <c r="C1062" s="2247"/>
      <c r="D1062" s="2248"/>
      <c r="E1062" s="2256" t="s">
        <v>6125</v>
      </c>
      <c r="F1062" s="2257"/>
      <c r="G1062" s="2367"/>
      <c r="H1062" s="2112"/>
      <c r="I1062" s="2117"/>
      <c r="J1062" s="2112"/>
      <c r="K1062" s="2112"/>
      <c r="L1062" s="2293"/>
      <c r="M1062" s="2293"/>
      <c r="N1062" s="2293"/>
      <c r="O1062" s="2294"/>
      <c r="P1062" s="2144"/>
    </row>
    <row r="1063" spans="1:18" s="2094" customFormat="1" outlineLevel="1">
      <c r="A1063" s="2097" t="str">
        <f t="shared" si="168"/>
        <v/>
      </c>
      <c r="B1063" s="2110" t="s">
        <v>838</v>
      </c>
      <c r="C1063" s="2257"/>
      <c r="D1063" s="2141" t="s">
        <v>5651</v>
      </c>
      <c r="E1063" s="2183" t="s">
        <v>5655</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outlineLevel="1">
      <c r="A1064" s="2097" t="str">
        <f t="shared" si="168"/>
        <v/>
      </c>
      <c r="B1064" s="2250" t="s">
        <v>880</v>
      </c>
      <c r="C1064" s="2247"/>
      <c r="D1064" s="2141">
        <v>0</v>
      </c>
      <c r="E1064" s="2183" t="s">
        <v>5795</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outlineLevel="1">
      <c r="A1065" s="2097" t="str">
        <f t="shared" si="168"/>
        <v/>
      </c>
      <c r="B1065" s="2250" t="s">
        <v>289</v>
      </c>
      <c r="C1065" s="2247"/>
      <c r="D1065" s="2141">
        <v>0</v>
      </c>
      <c r="E1065" s="2183" t="s">
        <v>5708</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outlineLevel="1">
      <c r="A1067" s="2315">
        <f>+IF(G1067&gt;0,1,0)</f>
        <v>0</v>
      </c>
      <c r="B1067" s="2119"/>
      <c r="C1067" s="2134">
        <f>IF(G1067&gt;0,C1055+1,C1055)</f>
        <v>0</v>
      </c>
      <c r="D1067" s="2307"/>
      <c r="E1067" s="2328" t="s">
        <v>6157</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4.4" outlineLevel="1">
      <c r="A1068" s="2097">
        <f>A1067</f>
        <v>0</v>
      </c>
      <c r="B1068" s="2119"/>
      <c r="C1068" s="2134"/>
      <c r="D1068" s="2307"/>
      <c r="E1068" s="2308" t="s">
        <v>6125</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1.4" outlineLevel="1">
      <c r="A1069" s="2171" t="str">
        <f>IF(G1069&lt;&gt;0,1,"")</f>
        <v/>
      </c>
      <c r="B1069" s="2241" t="s">
        <v>697</v>
      </c>
      <c r="C1069" s="2257"/>
      <c r="D1069" s="2141">
        <v>0</v>
      </c>
      <c r="E1069" s="2183" t="s">
        <v>5083</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6203</v>
      </c>
      <c r="R1069" s="2094"/>
    </row>
    <row r="1070" spans="1:18" s="2094" customFormat="1"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27.6"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6204</v>
      </c>
      <c r="R1071" s="2094"/>
    </row>
    <row r="1072" spans="1:18" s="2094" customFormat="1" outlineLevel="1">
      <c r="A1072" s="2097" t="str">
        <f>IF(G1072&lt;&gt;0,1,"")</f>
        <v/>
      </c>
      <c r="B1072" s="2107" t="s">
        <v>1477</v>
      </c>
      <c r="C1072" s="2108"/>
      <c r="D1072" s="2109">
        <v>0</v>
      </c>
      <c r="E1072" s="2110" t="s">
        <v>4333</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outlineLevel="1">
      <c r="A1073" s="2097">
        <f>IF(G1073&lt;&gt;0,1,0)</f>
        <v>0</v>
      </c>
      <c r="B1073" s="2107" t="s">
        <v>5695</v>
      </c>
      <c r="C1073" s="2116"/>
      <c r="D1073" s="2109">
        <v>0</v>
      </c>
      <c r="E1073" s="2110" t="s">
        <v>5696</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outlineLevel="1">
      <c r="A1074" s="2097">
        <f>IF(G1074&lt;&gt;0,1,0)</f>
        <v>0</v>
      </c>
      <c r="B1074" s="2107" t="s">
        <v>5701</v>
      </c>
      <c r="C1074" s="2116"/>
      <c r="D1074" s="2109">
        <v>0</v>
      </c>
      <c r="E1074" s="2110" t="s">
        <v>5702</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outlineLevel="1">
      <c r="A1075" s="2097" t="str">
        <f>IF(G1075&lt;&gt;0,1,"")</f>
        <v/>
      </c>
      <c r="B1075" s="2107" t="s">
        <v>5693</v>
      </c>
      <c r="C1075" s="2116"/>
      <c r="D1075" s="2109"/>
      <c r="E1075" s="2110" t="s">
        <v>5694</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outlineLevel="1">
      <c r="A1076" s="2097">
        <f>IF(G1076&lt;&gt;0,1,0)</f>
        <v>0</v>
      </c>
      <c r="B1076" s="2107" t="s">
        <v>5703</v>
      </c>
      <c r="C1076" s="2116"/>
      <c r="D1076" s="2109">
        <v>0</v>
      </c>
      <c r="E1076" s="2110" t="s">
        <v>5704</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outlineLevel="1">
      <c r="A1077" s="2097" t="str">
        <f>IF(G1077&lt;&gt;0,1,"")</f>
        <v/>
      </c>
      <c r="B1077" s="2107" t="s">
        <v>1525</v>
      </c>
      <c r="C1077" s="2108"/>
      <c r="D1077" s="2109" t="s">
        <v>5567</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outlineLevel="1">
      <c r="A1078" s="2097" t="str">
        <f>A1072</f>
        <v/>
      </c>
      <c r="B1078" s="2119"/>
      <c r="C1078" s="2134">
        <f>IF(G1078&gt;0,C1067+1,C1067)</f>
        <v>0</v>
      </c>
      <c r="D1078" s="2307"/>
      <c r="E1078" s="2329" t="s">
        <v>6205</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4.4" outlineLevel="1">
      <c r="A1079" s="2097" t="str">
        <f>A1078</f>
        <v/>
      </c>
      <c r="B1079" s="2119"/>
      <c r="C1079" s="2134"/>
      <c r="D1079" s="2307"/>
      <c r="E1079" s="2330" t="s">
        <v>6125</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outlineLevel="1">
      <c r="A1081" s="2097" t="str">
        <f t="shared" si="173"/>
        <v/>
      </c>
      <c r="B1081" s="2119" t="s">
        <v>6150</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outlineLevel="1">
      <c r="A1083" s="2097" t="str">
        <f t="shared" si="173"/>
        <v/>
      </c>
      <c r="B1083" s="2119" t="s">
        <v>449</v>
      </c>
      <c r="C1083" s="2108"/>
      <c r="D1083" s="2109" t="s">
        <v>5728</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outlineLevel="1">
      <c r="A1084" s="2097" t="str">
        <f t="shared" si="173"/>
        <v/>
      </c>
      <c r="B1084" s="2119" t="s">
        <v>6206</v>
      </c>
      <c r="C1084" s="2108"/>
      <c r="D1084" s="2109" t="s">
        <v>5725</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outlineLevel="1">
      <c r="A1085" s="2097" t="str">
        <f t="shared" si="173"/>
        <v/>
      </c>
      <c r="B1085" s="2119" t="s">
        <v>6207</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outlineLevel="1">
      <c r="A1086" s="2097" t="str">
        <f t="shared" si="173"/>
        <v/>
      </c>
      <c r="B1086" s="2119" t="s">
        <v>6191</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outlineLevel="1">
      <c r="A1088" s="2097" t="str">
        <f t="shared" si="173"/>
        <v/>
      </c>
      <c r="B1088" s="2122" t="s">
        <v>1862</v>
      </c>
      <c r="C1088" s="2108"/>
      <c r="D1088" s="2109">
        <v>0</v>
      </c>
      <c r="E1088" s="2110" t="s">
        <v>5254</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outlineLevel="1">
      <c r="A1093" s="2097" t="str">
        <f>IF(G1093&lt;&gt;0,1,"")</f>
        <v/>
      </c>
      <c r="B1093" s="2119" t="s">
        <v>489</v>
      </c>
      <c r="C1093" s="2108"/>
      <c r="D1093" s="2109">
        <v>0</v>
      </c>
      <c r="E1093" s="2110" t="s">
        <v>3566</v>
      </c>
      <c r="F1093" s="2109" t="s">
        <v>5802</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outlineLevel="1">
      <c r="A1094" s="2097" t="str">
        <f>IF(G1094&lt;&gt;0,1,"")</f>
        <v/>
      </c>
      <c r="B1094" s="2122" t="s">
        <v>672</v>
      </c>
      <c r="C1094" s="2108"/>
      <c r="D1094" s="2109">
        <v>0</v>
      </c>
      <c r="E1094" s="2110" t="s">
        <v>5797</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outlineLevel="1">
      <c r="A1095" s="2097" t="str">
        <f>A1094</f>
        <v/>
      </c>
      <c r="B1095" s="2119" t="s">
        <v>1863</v>
      </c>
      <c r="C1095" s="2116"/>
      <c r="D1095" s="2109" t="s">
        <v>5544</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outlineLevel="1">
      <c r="A1096" s="2097" t="str">
        <f>A1094</f>
        <v/>
      </c>
      <c r="B1096" s="2122" t="s">
        <v>247</v>
      </c>
      <c r="C1096" s="2116"/>
      <c r="D1096" s="2109" t="s">
        <v>5569</v>
      </c>
      <c r="E1096" s="2110" t="s">
        <v>5570</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outlineLevel="1">
      <c r="A1097" s="2097" t="str">
        <f>IF(G1097&lt;&gt;0,1,"")</f>
        <v/>
      </c>
      <c r="B1097" s="2119" t="s">
        <v>289</v>
      </c>
      <c r="C1097" s="2331">
        <f>IF(G1097&gt;0,C1078+1,C1078)</f>
        <v>0</v>
      </c>
      <c r="D1097" s="2332"/>
      <c r="E1097" s="2110" t="s">
        <v>5708</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outlineLevel="1">
      <c r="A1098" s="2097" t="str">
        <f>A1097</f>
        <v/>
      </c>
      <c r="B1098" s="2119"/>
      <c r="C1098" s="2335"/>
      <c r="D1098" s="2336"/>
      <c r="E1098" s="2302"/>
      <c r="F1098" s="2620"/>
      <c r="G1098" s="2620"/>
      <c r="H1098" s="2620"/>
      <c r="I1098" s="2620"/>
      <c r="J1098" s="2645" t="s">
        <v>6123</v>
      </c>
      <c r="K1098" s="2645"/>
      <c r="L1098" s="2337">
        <f>SUM(L1018:L1097)</f>
        <v>0</v>
      </c>
      <c r="M1098" s="2337"/>
      <c r="N1098" s="2337">
        <f>SUM(N1018:N1097)</f>
        <v>0</v>
      </c>
      <c r="O1098" s="2337">
        <f>SUM(O1018:O1097)</f>
        <v>0</v>
      </c>
      <c r="P1098" s="2373"/>
    </row>
    <row r="1099" spans="1:19" s="2094" customFormat="1"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5"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outlineLevel="1">
      <c r="A1102" s="2171" t="str">
        <f>+A1105</f>
        <v/>
      </c>
      <c r="B1102" s="2250" t="s">
        <v>6104</v>
      </c>
      <c r="C1102" s="2637" t="s">
        <v>1708</v>
      </c>
      <c r="D1102" s="2638" t="s">
        <v>2597</v>
      </c>
      <c r="E1102" s="2640" t="s">
        <v>2598</v>
      </c>
      <c r="F1102" s="2637" t="s">
        <v>2593</v>
      </c>
      <c r="G1102" s="2098" t="s">
        <v>6105</v>
      </c>
      <c r="H1102" s="2101" t="s">
        <v>6106</v>
      </c>
      <c r="I1102" s="2608"/>
      <c r="J1102" s="2608"/>
      <c r="K1102" s="2609"/>
      <c r="L1102" s="2101" t="s">
        <v>6107</v>
      </c>
      <c r="M1102" s="2608"/>
      <c r="N1102" s="2608"/>
      <c r="O1102" s="2609"/>
      <c r="P1102" s="2637" t="s">
        <v>2599</v>
      </c>
      <c r="Q1102" s="2255"/>
      <c r="R1102" s="2255"/>
      <c r="S1102" s="2255"/>
    </row>
    <row r="1103" spans="1:19" s="2094" customFormat="1" outlineLevel="1">
      <c r="A1103" s="2171" t="str">
        <f>+A1105</f>
        <v/>
      </c>
      <c r="B1103" s="2250"/>
      <c r="C1103" s="2637"/>
      <c r="D1103" s="2639"/>
      <c r="E1103" s="2641"/>
      <c r="F1103" s="2637"/>
      <c r="G1103" s="2100" t="s">
        <v>2286</v>
      </c>
      <c r="H1103" s="2101" t="s">
        <v>6108</v>
      </c>
      <c r="I1103" s="2101" t="s">
        <v>6109</v>
      </c>
      <c r="J1103" s="2101" t="s">
        <v>6110</v>
      </c>
      <c r="K1103" s="2101" t="s">
        <v>6111</v>
      </c>
      <c r="L1103" s="2101" t="s">
        <v>6108</v>
      </c>
      <c r="M1103" s="2101" t="s">
        <v>6109</v>
      </c>
      <c r="N1103" s="2101" t="s">
        <v>6110</v>
      </c>
      <c r="O1103" s="2101" t="s">
        <v>6111</v>
      </c>
      <c r="P1103" s="2637"/>
      <c r="Q1103" s="2255"/>
      <c r="R1103" s="2255"/>
      <c r="S1103" s="2255"/>
    </row>
    <row r="1104" spans="1:19" s="2094" customFormat="1"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outlineLevel="1">
      <c r="A1105" s="2171" t="str">
        <f t="shared" ref="A1105:A1112" si="175">IF(G1105&lt;&gt;0,1,"")</f>
        <v/>
      </c>
      <c r="B1105" s="2241" t="str">
        <f>IF($F$8=15,"tr180","tr1801")</f>
        <v>tr1801</v>
      </c>
      <c r="C1105" s="2257">
        <f>IF(G1105&gt;0,1,0)</f>
        <v>0</v>
      </c>
      <c r="D1105" s="2141" t="s">
        <v>5586</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outlineLevel="1">
      <c r="A1106" s="2171" t="str">
        <f t="shared" si="175"/>
        <v/>
      </c>
      <c r="B1106" s="2107" t="str">
        <f>"FCO100-"&amp;$F$8</f>
        <v>FCO100-22</v>
      </c>
      <c r="C1106" s="2257">
        <f>IF(G1106&gt;0,C1105+1,C1105)</f>
        <v>0</v>
      </c>
      <c r="D1106" s="2141" t="s">
        <v>5594</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outlineLevel="1">
      <c r="A1108" s="2171" t="str">
        <f t="shared" si="175"/>
        <v/>
      </c>
      <c r="B1108" s="2250" t="str">
        <f>"LA"&amp;$F$6</f>
        <v>LA18</v>
      </c>
      <c r="C1108" s="2257">
        <f t="shared" si="180"/>
        <v>0</v>
      </c>
      <c r="D1108" s="2141" t="s">
        <v>5598</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outlineLevel="1">
      <c r="A1109" s="2171" t="str">
        <f t="shared" si="175"/>
        <v/>
      </c>
      <c r="B1109" s="2346" t="s">
        <v>6208</v>
      </c>
      <c r="C1109" s="2257">
        <f t="shared" si="180"/>
        <v>0</v>
      </c>
      <c r="D1109" s="2141">
        <v>0</v>
      </c>
      <c r="E1109" s="2183" t="s">
        <v>5680</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outlineLevel="1">
      <c r="A1113" s="2171">
        <f>+IF(L1113+N1113+O1113&gt;0,1,0)</f>
        <v>0</v>
      </c>
      <c r="B1113" s="2250"/>
      <c r="C1113" s="2382"/>
      <c r="D1113" s="2383"/>
      <c r="E1113" s="2384"/>
      <c r="F1113" s="2382"/>
      <c r="G1113" s="2625"/>
      <c r="H1113" s="2382"/>
      <c r="I1113" s="2382"/>
      <c r="J1113" s="2106" t="s">
        <v>6113</v>
      </c>
      <c r="K1113" s="2382"/>
      <c r="L1113" s="2384">
        <f>SUM(L1105:L1112)</f>
        <v>0</v>
      </c>
      <c r="M1113" s="2384">
        <f>SUM(M1105:M1112)</f>
        <v>0</v>
      </c>
      <c r="N1113" s="2384">
        <f>SUM(N1105:N1112)</f>
        <v>0</v>
      </c>
      <c r="O1113" s="2384">
        <f>SUM(O1105:O1112)</f>
        <v>0</v>
      </c>
      <c r="P1113" s="2385"/>
      <c r="Q1113" s="2255"/>
      <c r="R1113" s="2255"/>
      <c r="S1113" s="2255"/>
    </row>
    <row r="1114" spans="1:19" s="2094" customFormat="1"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outlineLevel="1">
      <c r="A1115" s="2171" t="str">
        <f t="shared" ref="A1115:A1133" si="181">IF(G1115&lt;&gt;0,1,"")</f>
        <v/>
      </c>
      <c r="B1115" s="2390"/>
      <c r="C1115" s="2391">
        <f>IF(G1115&gt;0,1,0)</f>
        <v>0</v>
      </c>
      <c r="D1115" s="2141"/>
      <c r="E1115" s="2392" t="s">
        <v>6114</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outlineLevel="1">
      <c r="A1119" s="2171" t="str">
        <f t="shared" si="181"/>
        <v/>
      </c>
      <c r="B1119" s="2390"/>
      <c r="C1119" s="2391">
        <f>IF(G1119&gt;0,1,0)</f>
        <v>0</v>
      </c>
      <c r="D1119" s="2141"/>
      <c r="E1119" s="2392" t="s">
        <v>6209</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outlineLevel="1">
      <c r="A1124" s="2171" t="str">
        <f t="shared" si="181"/>
        <v/>
      </c>
      <c r="B1124" s="2346" t="s">
        <v>636</v>
      </c>
      <c r="C1124" s="2396"/>
      <c r="D1124" s="2141" t="s">
        <v>5043</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outlineLevel="1">
      <c r="A1125" s="2171" t="str">
        <f t="shared" si="181"/>
        <v/>
      </c>
      <c r="B1125" s="2346" t="s">
        <v>566</v>
      </c>
      <c r="C1125" s="2396"/>
      <c r="D1125" s="2141"/>
      <c r="E1125" s="2397" t="s">
        <v>5068</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outlineLevel="1">
      <c r="A1126" s="2171" t="str">
        <f t="shared" si="181"/>
        <v/>
      </c>
      <c r="B1126" s="2346" t="s">
        <v>639</v>
      </c>
      <c r="C1126" s="2396"/>
      <c r="D1126" s="2141" t="s">
        <v>1747</v>
      </c>
      <c r="E1126" s="2397" t="s">
        <v>5320</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outlineLevel="1">
      <c r="A1127" s="2171" t="str">
        <f t="shared" si="181"/>
        <v/>
      </c>
      <c r="B1127" s="2346" t="s">
        <v>21</v>
      </c>
      <c r="C1127" s="2396"/>
      <c r="D1127" s="2141" t="s">
        <v>5321</v>
      </c>
      <c r="E1127" s="2397" t="s">
        <v>5322</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outlineLevel="1">
      <c r="A1129" s="2171" t="str">
        <f t="shared" si="181"/>
        <v/>
      </c>
      <c r="B1129" s="2346" t="s">
        <v>636</v>
      </c>
      <c r="C1129" s="2396"/>
      <c r="D1129" s="2141" t="s">
        <v>5043</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outlineLevel="1">
      <c r="A1130" s="2171" t="str">
        <f t="shared" si="181"/>
        <v/>
      </c>
      <c r="B1130" s="2346" t="s">
        <v>566</v>
      </c>
      <c r="C1130" s="2396"/>
      <c r="D1130" s="2141"/>
      <c r="E1130" s="2397" t="s">
        <v>5068</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outlineLevel="1">
      <c r="A1131" s="2171" t="str">
        <f t="shared" si="181"/>
        <v/>
      </c>
      <c r="B1131" s="2346" t="s">
        <v>639</v>
      </c>
      <c r="C1131" s="2396"/>
      <c r="D1131" s="2141" t="s">
        <v>1747</v>
      </c>
      <c r="E1131" s="2397" t="s">
        <v>5320</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outlineLevel="1">
      <c r="A1132" s="2171" t="str">
        <f t="shared" si="181"/>
        <v/>
      </c>
      <c r="B1132" s="2346" t="s">
        <v>21</v>
      </c>
      <c r="C1132" s="2396"/>
      <c r="D1132" s="2141" t="s">
        <v>5321</v>
      </c>
      <c r="E1132" s="2397" t="s">
        <v>5322</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4.4" outlineLevel="1">
      <c r="A1134" s="2171" t="str">
        <f>A1133</f>
        <v/>
      </c>
      <c r="B1134" s="2250"/>
      <c r="C1134" s="2247"/>
      <c r="D1134" s="2403"/>
      <c r="E1134" s="2256" t="s">
        <v>6125</v>
      </c>
      <c r="F1134" s="2257"/>
      <c r="G1134" s="2258"/>
      <c r="H1134" s="2404"/>
      <c r="I1134" s="2404"/>
      <c r="J1134" s="2404"/>
      <c r="K1134" s="2404"/>
      <c r="L1134" s="2404"/>
      <c r="M1134" s="2404"/>
      <c r="N1134" s="2404"/>
      <c r="O1134" s="2404"/>
      <c r="P1134" s="2254"/>
      <c r="Q1134" s="2255"/>
      <c r="R1134" s="2255"/>
      <c r="S1134" s="2255"/>
    </row>
    <row r="1135" spans="1:19" s="2094" customFormat="1" outlineLevel="1">
      <c r="A1135" s="2171" t="str">
        <f t="shared" ref="A1135:A1140" si="182">IF(G1135&lt;&gt;0,1,"")</f>
        <v/>
      </c>
      <c r="B1135" s="2241" t="s">
        <v>1136</v>
      </c>
      <c r="C1135" s="2247"/>
      <c r="D1135" s="2141">
        <v>0</v>
      </c>
      <c r="E1135" s="2183" t="s">
        <v>6330</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outlineLevel="1">
      <c r="A1136" s="2171" t="str">
        <f t="shared" si="182"/>
        <v/>
      </c>
      <c r="B1136" s="2241" t="s">
        <v>1137</v>
      </c>
      <c r="C1136" s="2247"/>
      <c r="D1136" s="2141">
        <v>0</v>
      </c>
      <c r="E1136" s="2183" t="s">
        <v>6331</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outlineLevel="1">
      <c r="A1137" s="2171" t="str">
        <f t="shared" si="182"/>
        <v/>
      </c>
      <c r="B1137" s="2241" t="s">
        <v>1138</v>
      </c>
      <c r="C1137" s="2247"/>
      <c r="D1137" s="2141">
        <v>0</v>
      </c>
      <c r="E1137" s="2183" t="s">
        <v>6332</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outlineLevel="1">
      <c r="A1141" s="2171" t="str">
        <f>IF(G1141&lt;&gt;0,1,"")</f>
        <v/>
      </c>
      <c r="B1141" s="2241" t="s">
        <v>2242</v>
      </c>
      <c r="C1141" s="2247"/>
      <c r="D1141" s="2141" t="s">
        <v>5440</v>
      </c>
      <c r="E1141" s="2183" t="s">
        <v>6333</v>
      </c>
      <c r="F1141" s="2141" t="s">
        <v>2439</v>
      </c>
      <c r="G1141" s="2258">
        <f>+G1133*1</f>
        <v>0</v>
      </c>
      <c r="H1141" s="2348">
        <v>0</v>
      </c>
      <c r="I1141" s="2405"/>
      <c r="J1141" s="2348" t="s">
        <v>6334</v>
      </c>
      <c r="K1141" s="2348">
        <v>0</v>
      </c>
      <c r="L1141" s="2349">
        <f>H1141*G1141</f>
        <v>0</v>
      </c>
      <c r="M1141" s="2349">
        <f t="shared" si="184"/>
        <v>0</v>
      </c>
      <c r="N1141" s="2348">
        <v>0</v>
      </c>
      <c r="O1141" s="2349">
        <f t="shared" si="185"/>
        <v>0</v>
      </c>
      <c r="P1141" s="2254"/>
      <c r="Q1141" s="2255"/>
      <c r="R1141" s="2255"/>
      <c r="S1141" s="2255"/>
    </row>
    <row r="1142" spans="1:19" s="2094" customFormat="1" outlineLevel="1">
      <c r="A1142" s="2171" t="str">
        <f>IF(G1142&lt;&gt;0,1,"")</f>
        <v/>
      </c>
      <c r="B1142" s="2241" t="s">
        <v>6210</v>
      </c>
      <c r="C1142" s="2247"/>
      <c r="D1142" s="2141" t="s">
        <v>5374</v>
      </c>
      <c r="E1142" s="2183" t="s">
        <v>6335</v>
      </c>
      <c r="F1142" s="2141" t="s">
        <v>2439</v>
      </c>
      <c r="G1142" s="2258">
        <f>+G1133*(IF(G1136&gt;0,2,0)+IF(G1137&gt;0,1,0))</f>
        <v>0</v>
      </c>
      <c r="H1142" s="2348">
        <v>0</v>
      </c>
      <c r="I1142" s="2405"/>
      <c r="J1142" s="2348" t="s">
        <v>6336</v>
      </c>
      <c r="K1142" s="2348">
        <v>0</v>
      </c>
      <c r="L1142" s="2349">
        <f>H1142*G1142</f>
        <v>0</v>
      </c>
      <c r="M1142" s="2349">
        <f>I1142*G1142</f>
        <v>0</v>
      </c>
      <c r="N1142" s="2348">
        <v>0</v>
      </c>
      <c r="O1142" s="2349">
        <f>K1142*G1142</f>
        <v>0</v>
      </c>
      <c r="P1142" s="2254"/>
      <c r="Q1142" s="2255"/>
      <c r="R1142" s="2255"/>
      <c r="S1142" s="2255"/>
    </row>
    <row r="1143" spans="1:19" s="2094" customFormat="1" outlineLevel="1">
      <c r="A1143" s="2171" t="str">
        <f>IF(G1143&lt;&gt;0,1,"")</f>
        <v/>
      </c>
      <c r="B1143" s="2250"/>
      <c r="C1143" s="2247">
        <f>IF(G1143&gt;0,C1128+1,C1128)</f>
        <v>0</v>
      </c>
      <c r="D1143" s="2248"/>
      <c r="E1143" s="2406" t="s">
        <v>6211</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4.4" outlineLevel="1">
      <c r="A1144" s="2171" t="str">
        <f>A1143</f>
        <v/>
      </c>
      <c r="B1144" s="2250"/>
      <c r="C1144" s="2247"/>
      <c r="D1144" s="2248"/>
      <c r="E1144" s="2256" t="s">
        <v>6125</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outlineLevel="1">
      <c r="A1145" s="2171" t="str">
        <f>IF(G1145&lt;&gt;0,1,"")</f>
        <v/>
      </c>
      <c r="B1145" s="2122" t="s">
        <v>5151</v>
      </c>
      <c r="C1145" s="2247"/>
      <c r="D1145" s="2141">
        <v>0</v>
      </c>
      <c r="E1145" s="2183" t="s">
        <v>5152</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outlineLevel="1">
      <c r="A1146" s="2171" t="str">
        <f>IF(G1146&lt;&gt;0,1,"")</f>
        <v/>
      </c>
      <c r="B1146" s="2119" t="s">
        <v>488</v>
      </c>
      <c r="C1146" s="2247"/>
      <c r="D1146" s="2141">
        <v>0</v>
      </c>
      <c r="E1146" s="2183" t="s">
        <v>5074</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outlineLevel="1">
      <c r="A1148" s="2171" t="str">
        <f>IF(G1148&lt;&gt;0,1,"")</f>
        <v/>
      </c>
      <c r="B1148" s="2119" t="s">
        <v>2242</v>
      </c>
      <c r="C1148" s="2247"/>
      <c r="D1148" s="2141" t="s">
        <v>5440</v>
      </c>
      <c r="E1148" s="2183" t="s">
        <v>2440</v>
      </c>
      <c r="F1148" s="2141" t="s">
        <v>2439</v>
      </c>
      <c r="G1148" s="2258">
        <f>+G1143</f>
        <v>0</v>
      </c>
      <c r="H1148" s="2253">
        <v>0</v>
      </c>
      <c r="I1148" s="2348"/>
      <c r="J1148" s="2348" t="s">
        <v>6337</v>
      </c>
      <c r="K1148" s="2348"/>
      <c r="L1148" s="2349">
        <f t="shared" si="187"/>
        <v>0</v>
      </c>
      <c r="M1148" s="2349"/>
      <c r="N1148" s="2348">
        <v>0</v>
      </c>
      <c r="O1148" s="2349"/>
      <c r="P1148" s="2254"/>
      <c r="Q1148" s="2255"/>
      <c r="R1148" s="2255"/>
      <c r="S1148" s="2255"/>
    </row>
    <row r="1149" spans="1:19" s="2094" customFormat="1" outlineLevel="1">
      <c r="A1149" s="2171" t="str">
        <f>IF(G1149&lt;&gt;0,1,"")</f>
        <v/>
      </c>
      <c r="B1149" s="2250"/>
      <c r="C1149" s="2247">
        <f>IF(G1149&gt;0,C1133+1,C1133)</f>
        <v>0</v>
      </c>
      <c r="D1149" s="2248"/>
      <c r="E1149" s="2406" t="s">
        <v>6212</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4.4" outlineLevel="1">
      <c r="A1150" s="2171" t="str">
        <f>A1149</f>
        <v/>
      </c>
      <c r="B1150" s="2250"/>
      <c r="C1150" s="2247"/>
      <c r="D1150" s="2248"/>
      <c r="E1150" s="2256" t="s">
        <v>6125</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outlineLevel="1">
      <c r="A1153" s="2171" t="str">
        <f>IF(G1153&lt;&gt;0,1,"")</f>
        <v/>
      </c>
      <c r="B1153" s="2250" t="s">
        <v>2242</v>
      </c>
      <c r="C1153" s="2247"/>
      <c r="D1153" s="2141" t="s">
        <v>5440</v>
      </c>
      <c r="E1153" s="2183" t="s">
        <v>2440</v>
      </c>
      <c r="F1153" s="2141" t="s">
        <v>2439</v>
      </c>
      <c r="G1153" s="2258">
        <f>+G1149</f>
        <v>0</v>
      </c>
      <c r="H1153" s="2253">
        <v>0</v>
      </c>
      <c r="I1153" s="2348"/>
      <c r="J1153" s="2348" t="s">
        <v>6337</v>
      </c>
      <c r="K1153" s="2348"/>
      <c r="L1153" s="2349">
        <f t="shared" si="183"/>
        <v>0</v>
      </c>
      <c r="M1153" s="2349"/>
      <c r="N1153" s="2348">
        <v>0</v>
      </c>
      <c r="O1153" s="2349"/>
      <c r="P1153" s="2254"/>
      <c r="Q1153" s="2255"/>
      <c r="R1153" s="2255"/>
      <c r="S1153" s="2255"/>
    </row>
    <row r="1154" spans="1:19" s="2094" customFormat="1" outlineLevel="1">
      <c r="A1154" s="2171" t="str">
        <f>IF(G1154&lt;&gt;0,1,"")</f>
        <v/>
      </c>
      <c r="B1154" s="2250"/>
      <c r="C1154" s="2247">
        <f>IF(G1154&gt;0,C1149+1,C1149)</f>
        <v>0</v>
      </c>
      <c r="D1154" s="2248"/>
      <c r="E1154" s="2406" t="s">
        <v>6213</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4.4" outlineLevel="1">
      <c r="A1155" s="2171" t="str">
        <f>A1154</f>
        <v/>
      </c>
      <c r="B1155" s="2250"/>
      <c r="C1155" s="2247"/>
      <c r="D1155" s="2248"/>
      <c r="E1155" s="2256" t="s">
        <v>6125</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outlineLevel="1">
      <c r="A1159" s="2171" t="str">
        <f>IF(G1159&lt;&gt;0,1,"")</f>
        <v/>
      </c>
      <c r="B1159" s="2250" t="s">
        <v>2242</v>
      </c>
      <c r="C1159" s="2247"/>
      <c r="D1159" s="2141" t="s">
        <v>5440</v>
      </c>
      <c r="E1159" s="2183" t="s">
        <v>2440</v>
      </c>
      <c r="F1159" s="2141" t="s">
        <v>2439</v>
      </c>
      <c r="G1159" s="2258">
        <f>G1154/2</f>
        <v>0</v>
      </c>
      <c r="H1159" s="2253">
        <v>0</v>
      </c>
      <c r="I1159" s="2348"/>
      <c r="J1159" s="2348" t="s">
        <v>6337</v>
      </c>
      <c r="K1159" s="2348"/>
      <c r="L1159" s="2349">
        <f t="shared" si="183"/>
        <v>0</v>
      </c>
      <c r="M1159" s="2349"/>
      <c r="N1159" s="2348">
        <v>0</v>
      </c>
      <c r="O1159" s="2349"/>
      <c r="P1159" s="2254"/>
      <c r="Q1159" s="2255"/>
      <c r="R1159" s="2255"/>
      <c r="S1159" s="2255"/>
    </row>
    <row r="1160" spans="1:19" s="2094" customFormat="1"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4.4" outlineLevel="1">
      <c r="A1161" s="2171" t="str">
        <f>+A1160</f>
        <v/>
      </c>
      <c r="B1161" s="2407"/>
      <c r="C1161" s="2247"/>
      <c r="D1161" s="2248"/>
      <c r="E1161" s="2256" t="s">
        <v>6125</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outlineLevel="1">
      <c r="A1163" s="2171" t="str">
        <f t="shared" si="189"/>
        <v/>
      </c>
      <c r="B1163" s="2241" t="s">
        <v>1508</v>
      </c>
      <c r="C1163" s="2247"/>
      <c r="D1163" s="2141">
        <v>0</v>
      </c>
      <c r="E1163" s="2183" t="s">
        <v>5159</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outlineLevel="1">
      <c r="A1167" s="2171" t="str">
        <f t="shared" si="189"/>
        <v/>
      </c>
      <c r="B1167" s="2241" t="s">
        <v>525</v>
      </c>
      <c r="C1167" s="2247"/>
      <c r="D1167" s="2141">
        <v>0</v>
      </c>
      <c r="E1167" s="2183" t="s">
        <v>5248</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outlineLevel="1">
      <c r="A1168" s="2171" t="str">
        <f t="shared" si="189"/>
        <v/>
      </c>
      <c r="B1168" s="2241" t="s">
        <v>1585</v>
      </c>
      <c r="C1168" s="2247"/>
      <c r="D1168" s="2141">
        <v>0</v>
      </c>
      <c r="E1168" s="2183" t="s">
        <v>5709</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outlineLevel="1">
      <c r="A1169" s="2171">
        <f>IF(G1169=0,0,1)</f>
        <v>0</v>
      </c>
      <c r="B1169" s="2241" t="s">
        <v>794</v>
      </c>
      <c r="C1169" s="2257"/>
      <c r="D1169" s="2141" t="s">
        <v>5332</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outlineLevel="1">
      <c r="A1170" s="2171">
        <f>IF(G1170=0,0,1)</f>
        <v>0</v>
      </c>
      <c r="B1170" s="2241" t="s">
        <v>798</v>
      </c>
      <c r="C1170" s="2257"/>
      <c r="D1170" s="2141" t="s">
        <v>5321</v>
      </c>
      <c r="E1170" s="2183" t="s">
        <v>5333</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outlineLevel="1">
      <c r="A1171" s="2171">
        <f>IF(G1171=0,0,1)</f>
        <v>0</v>
      </c>
      <c r="B1171" s="2241" t="s">
        <v>902</v>
      </c>
      <c r="C1171" s="2257"/>
      <c r="D1171" s="2141" t="s">
        <v>5347</v>
      </c>
      <c r="E1171" s="2183" t="s">
        <v>5348</v>
      </c>
      <c r="F1171" s="2141" t="s">
        <v>2278</v>
      </c>
      <c r="G1171" s="2378">
        <f>G1163</f>
        <v>0</v>
      </c>
      <c r="H1171" s="2253">
        <v>0</v>
      </c>
      <c r="I1171" s="2253"/>
      <c r="J1171" s="2253" t="s">
        <v>6304</v>
      </c>
      <c r="K1171" s="2253">
        <v>0</v>
      </c>
      <c r="L1171" s="2253">
        <f>H1171*$G1171</f>
        <v>0</v>
      </c>
      <c r="M1171" s="2253">
        <f>I1171*$G1171</f>
        <v>0</v>
      </c>
      <c r="N1171" s="2253">
        <v>0</v>
      </c>
      <c r="O1171" s="2253">
        <f>K1171*$G1171</f>
        <v>0</v>
      </c>
      <c r="P1171" s="2378"/>
      <c r="Q1171" s="2255"/>
      <c r="R1171" s="2255"/>
      <c r="S1171" s="2255"/>
    </row>
    <row r="1172" spans="1:20" s="2094" customFormat="1" outlineLevel="1">
      <c r="A1172" s="2171" t="str">
        <f>IF(G1172&lt;&gt;0,1,"")</f>
        <v/>
      </c>
      <c r="B1172" s="2241" t="s">
        <v>1437</v>
      </c>
      <c r="C1172" s="2247"/>
      <c r="D1172" s="2141" t="s">
        <v>5342</v>
      </c>
      <c r="E1172" s="2183" t="s">
        <v>5343</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outlineLevel="1">
      <c r="A1173" s="2171" t="str">
        <f>IF(G1173&lt;&gt;0,1,"")</f>
        <v/>
      </c>
      <c r="B1173" s="2250"/>
      <c r="C1173" s="2247">
        <f>IF(G1173&gt;0,C1160+1,C1160)</f>
        <v>0</v>
      </c>
      <c r="D1173" s="2248"/>
      <c r="E1173" s="2251" t="s">
        <v>6214</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4.4" outlineLevel="1">
      <c r="A1174" s="2171" t="str">
        <f>A1173</f>
        <v/>
      </c>
      <c r="B1174" s="2250"/>
      <c r="C1174" s="2247"/>
      <c r="D1174" s="2248"/>
      <c r="E1174" s="2256" t="s">
        <v>6125</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outlineLevel="1">
      <c r="A1175" s="2171" t="str">
        <f>IF(G1175&lt;&gt;0,1,"")</f>
        <v/>
      </c>
      <c r="B1175" s="2250" t="s">
        <v>653</v>
      </c>
      <c r="C1175" s="2257"/>
      <c r="D1175" s="2141">
        <v>0</v>
      </c>
      <c r="E1175" s="2183" t="s">
        <v>5285</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outlineLevel="1">
      <c r="A1178" s="2171" t="str">
        <f>IF(G1178&lt;&gt;0,1,"")</f>
        <v/>
      </c>
      <c r="B1178" s="2250" t="s">
        <v>654</v>
      </c>
      <c r="C1178" s="2257"/>
      <c r="D1178" s="2141" t="s">
        <v>5467</v>
      </c>
      <c r="E1178" s="2183" t="s">
        <v>5470</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outlineLevel="1">
      <c r="A1179" s="2171" t="str">
        <f>IF(G1179&lt;&gt;0,1,"")</f>
        <v/>
      </c>
      <c r="B1179" s="2250"/>
      <c r="C1179" s="2247">
        <f>IF(G1179&gt;0,C1173+1,C1173)</f>
        <v>0</v>
      </c>
      <c r="D1179" s="2248"/>
      <c r="E1179" s="2365" t="s">
        <v>6201</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4.4" outlineLevel="1">
      <c r="A1180" s="2171" t="str">
        <f>A1179</f>
        <v/>
      </c>
      <c r="B1180" s="2250"/>
      <c r="C1180" s="2247"/>
      <c r="D1180" s="2248"/>
      <c r="E1180" s="2256" t="s">
        <v>6125</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outlineLevel="1">
      <c r="A1181" s="2171" t="str">
        <f>IF(G1181&lt;&gt;0,1,"")</f>
        <v/>
      </c>
      <c r="B1181" s="2250" t="s">
        <v>5641</v>
      </c>
      <c r="C1181" s="2257"/>
      <c r="D1181" s="2141" t="s">
        <v>5629</v>
      </c>
      <c r="E1181" s="2183" t="s">
        <v>5642</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outlineLevel="1">
      <c r="A1182" s="2171" t="str">
        <f>IF(G1182&lt;&gt;0,1,"")</f>
        <v/>
      </c>
      <c r="B1182" s="2250" t="s">
        <v>880</v>
      </c>
      <c r="C1182" s="2247"/>
      <c r="D1182" s="2141">
        <v>0</v>
      </c>
      <c r="E1182" s="2183" t="s">
        <v>5795</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outlineLevel="1">
      <c r="A1183" s="2171" t="str">
        <f>IF(G1183&lt;&gt;0,1,"")</f>
        <v/>
      </c>
      <c r="B1183" s="2250" t="s">
        <v>289</v>
      </c>
      <c r="C1183" s="2257"/>
      <c r="D1183" s="2141">
        <v>0</v>
      </c>
      <c r="E1183" s="2183" t="s">
        <v>5708</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4.4" outlineLevel="1">
      <c r="A1185" s="2171" t="str">
        <f>A1184</f>
        <v/>
      </c>
      <c r="B1185" s="2250"/>
      <c r="C1185" s="2247"/>
      <c r="D1185" s="2248"/>
      <c r="E1185" s="2263" t="s">
        <v>6125</v>
      </c>
      <c r="F1185" s="2247"/>
      <c r="G1185" s="2252"/>
      <c r="H1185" s="2253"/>
      <c r="I1185" s="2253"/>
      <c r="J1185" s="2253"/>
      <c r="K1185" s="2253"/>
      <c r="L1185" s="2253"/>
      <c r="M1185" s="2253"/>
      <c r="N1185" s="2253"/>
      <c r="O1185" s="2253"/>
      <c r="P1185" s="2378"/>
      <c r="Q1185" s="2255"/>
      <c r="R1185" s="2255"/>
      <c r="S1185" s="2255"/>
    </row>
    <row r="1186" spans="1:19" s="2094" customFormat="1" outlineLevel="1">
      <c r="A1186" s="2171" t="str">
        <f>IF(G1186&lt;&gt;0,1,"")</f>
        <v/>
      </c>
      <c r="B1186" s="2241" t="s">
        <v>697</v>
      </c>
      <c r="C1186" s="2257"/>
      <c r="D1186" s="2141">
        <v>0</v>
      </c>
      <c r="E1186" s="2183" t="s">
        <v>5083</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outlineLevel="1">
      <c r="A1188" s="2171" t="str">
        <f>IF(G1188&lt;&gt;0,1,"")</f>
        <v/>
      </c>
      <c r="B1188" s="2346" t="s">
        <v>1477</v>
      </c>
      <c r="C1188" s="2257"/>
      <c r="D1188" s="2141">
        <v>0</v>
      </c>
      <c r="E1188" s="2183" t="s">
        <v>6338</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outlineLevel="1">
      <c r="A1189" s="2171" t="str">
        <f>IF(G1189&lt;&gt;0,1,"")</f>
        <v/>
      </c>
      <c r="B1189" s="2346" t="s">
        <v>5695</v>
      </c>
      <c r="C1189" s="2257"/>
      <c r="D1189" s="2141">
        <v>0</v>
      </c>
      <c r="E1189" s="2183" t="s">
        <v>6339</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outlineLevel="1">
      <c r="A1190" s="2171" t="str">
        <f>IF(G1190&lt;&gt;0,1,"")</f>
        <v/>
      </c>
      <c r="B1190" s="2346" t="s">
        <v>5701</v>
      </c>
      <c r="C1190" s="2257"/>
      <c r="D1190" s="2141">
        <v>0</v>
      </c>
      <c r="E1190" s="2183" t="s">
        <v>6340</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outlineLevel="1">
      <c r="A1191" s="2171" t="str">
        <f t="shared" si="195"/>
        <v/>
      </c>
      <c r="B1191" s="2346" t="s">
        <v>5703</v>
      </c>
      <c r="C1191" s="2257"/>
      <c r="D1191" s="2141">
        <v>0</v>
      </c>
      <c r="E1191" s="2183" t="s">
        <v>6341</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outlineLevel="1">
      <c r="A1194" s="2171" t="str">
        <f>IF(G1194&lt;&gt;0,1,"")</f>
        <v/>
      </c>
      <c r="B1194" s="2241" t="s">
        <v>1565</v>
      </c>
      <c r="C1194" s="2257"/>
      <c r="D1194" s="2141" t="s">
        <v>5556</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outlineLevel="1">
      <c r="A1195" s="2171" t="str">
        <f>IF(G1195&lt;&gt;0,1,"")</f>
        <v/>
      </c>
      <c r="B1195" s="2241" t="s">
        <v>1525</v>
      </c>
      <c r="C1195" s="2257"/>
      <c r="D1195" s="2141" t="s">
        <v>5567</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4.4" outlineLevel="1">
      <c r="A1197" s="2171" t="str">
        <f>A1196</f>
        <v/>
      </c>
      <c r="B1197" s="2250"/>
      <c r="C1197" s="2247"/>
      <c r="D1197" s="2248"/>
      <c r="E1197" s="2263" t="s">
        <v>6125</v>
      </c>
      <c r="F1197" s="2247"/>
      <c r="G1197" s="2252"/>
      <c r="H1197" s="2253"/>
      <c r="I1197" s="2253"/>
      <c r="J1197" s="2253"/>
      <c r="K1197" s="2253"/>
      <c r="L1197" s="2253"/>
      <c r="M1197" s="2253"/>
      <c r="N1197" s="2253"/>
      <c r="O1197" s="2253"/>
      <c r="P1197" s="2254"/>
      <c r="Q1197" s="2255"/>
      <c r="R1197" s="2255"/>
      <c r="S1197" s="2255"/>
    </row>
    <row r="1198" spans="1:19" s="2094" customFormat="1"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outlineLevel="1">
      <c r="A1199" s="2171" t="str">
        <f>IF(G1199&lt;&gt;0,1,"")</f>
        <v/>
      </c>
      <c r="B1199" s="2250" t="s">
        <v>86</v>
      </c>
      <c r="C1199" s="2257"/>
      <c r="D1199" s="2141">
        <v>0</v>
      </c>
      <c r="E1199" s="2183" t="s">
        <v>5793</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outlineLevel="1">
      <c r="A1202" s="2171" t="str">
        <f>IF(G1202&lt;&gt;0,1,"")</f>
        <v/>
      </c>
      <c r="B1202" s="2241"/>
      <c r="C1202" s="2247">
        <f>IF(G1202&gt;0,C1196+1,C1196)</f>
        <v>0</v>
      </c>
      <c r="D1202" s="2248"/>
      <c r="E1202" s="2249" t="s">
        <v>6215</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4.4" outlineLevel="1">
      <c r="A1203" s="2171" t="str">
        <f>A1202</f>
        <v/>
      </c>
      <c r="B1203" s="2241"/>
      <c r="C1203" s="2247"/>
      <c r="D1203" s="2248"/>
      <c r="E1203" s="2263" t="s">
        <v>6125</v>
      </c>
      <c r="F1203" s="2247"/>
      <c r="G1203" s="2258"/>
      <c r="H1203" s="2253"/>
      <c r="I1203" s="2253"/>
      <c r="J1203" s="2253"/>
      <c r="K1203" s="2253"/>
      <c r="L1203" s="2253"/>
      <c r="M1203" s="2253"/>
      <c r="N1203" s="2253"/>
      <c r="O1203" s="2253"/>
      <c r="P1203" s="2378"/>
      <c r="Q1203" s="2255"/>
      <c r="R1203" s="2255"/>
      <c r="S1203" s="2255"/>
    </row>
    <row r="1204" spans="1:19" s="2094" customFormat="1"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outlineLevel="1">
      <c r="A1207" s="2171" t="str">
        <f t="shared" ref="A1207:A1219" si="200">IF(G1207&lt;&gt;0,1,"")</f>
        <v/>
      </c>
      <c r="B1207" s="2250" t="s">
        <v>2155</v>
      </c>
      <c r="C1207" s="2257"/>
      <c r="D1207" s="2141" t="s">
        <v>5725</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outlineLevel="1">
      <c r="A1208" s="2171" t="str">
        <f t="shared" si="200"/>
        <v/>
      </c>
      <c r="B1208" s="2250" t="s">
        <v>1304</v>
      </c>
      <c r="C1208" s="2257"/>
      <c r="D1208" s="2141" t="s">
        <v>5723</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outlineLevel="1">
      <c r="A1212" s="2171" t="str">
        <f t="shared" si="200"/>
        <v/>
      </c>
      <c r="B1212" s="2241" t="s">
        <v>731</v>
      </c>
      <c r="C1212" s="2257"/>
      <c r="D1212" s="2141">
        <v>0</v>
      </c>
      <c r="E1212" s="2183" t="s">
        <v>5254</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outlineLevel="1">
      <c r="A1216" s="2171" t="str">
        <f t="shared" si="200"/>
        <v/>
      </c>
      <c r="B1216" s="2241" t="s">
        <v>6</v>
      </c>
      <c r="C1216" s="2257"/>
      <c r="D1216" s="2141"/>
      <c r="E1216" s="2183" t="s">
        <v>3566</v>
      </c>
      <c r="F1216" s="2141" t="s">
        <v>5802</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outlineLevel="1">
      <c r="A1218" s="2171" t="str">
        <f t="shared" si="200"/>
        <v/>
      </c>
      <c r="B1218" s="2241" t="s">
        <v>672</v>
      </c>
      <c r="C1218" s="2257"/>
      <c r="D1218" s="2141">
        <v>0</v>
      </c>
      <c r="E1218" s="2183" t="s">
        <v>5797</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outlineLevel="1">
      <c r="A1219" s="2171" t="str">
        <f t="shared" si="200"/>
        <v/>
      </c>
      <c r="B1219" s="2241" t="s">
        <v>2006</v>
      </c>
      <c r="C1219" s="2257"/>
      <c r="D1219" s="2141" t="s">
        <v>5568</v>
      </c>
      <c r="E1219" s="2183" t="s">
        <v>6342</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outlineLevel="1">
      <c r="A1220" s="2171">
        <f>+IF(L1220+N1220+O1220&gt;0,1,0)</f>
        <v>0</v>
      </c>
      <c r="B1220" s="2346"/>
      <c r="C1220" s="2412"/>
      <c r="D1220" s="2413"/>
      <c r="E1220" s="2388"/>
      <c r="F1220" s="2626"/>
      <c r="G1220" s="2627"/>
      <c r="H1220" s="2626"/>
      <c r="I1220" s="2626"/>
      <c r="J1220" s="2636" t="s">
        <v>6123</v>
      </c>
      <c r="K1220" s="2636"/>
      <c r="L1220" s="2414">
        <f>SUM(L1116:L1219)</f>
        <v>0</v>
      </c>
      <c r="M1220" s="2414">
        <f>SUM(M1116:M1219)</f>
        <v>0</v>
      </c>
      <c r="N1220" s="2414">
        <f>SUM(N1116:N1219)</f>
        <v>0</v>
      </c>
      <c r="O1220" s="2414">
        <f>SUM(O1116:O1219)</f>
        <v>0</v>
      </c>
      <c r="P1220" s="2385"/>
      <c r="Q1220" s="2255"/>
      <c r="R1220" s="2255"/>
      <c r="S1220" s="2255"/>
    </row>
    <row r="1221" spans="1:19" s="2094" customFormat="1" ht="13.95"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outlineLevel="1">
      <c r="A1223" s="2171" t="str">
        <f>A1100</f>
        <v/>
      </c>
      <c r="B1223" s="2250" t="s">
        <v>2284</v>
      </c>
      <c r="C1223" s="2637" t="s">
        <v>1708</v>
      </c>
      <c r="D1223" s="2638" t="s">
        <v>2597</v>
      </c>
      <c r="E1223" s="2640" t="s">
        <v>2598</v>
      </c>
      <c r="F1223" s="2637" t="s">
        <v>2593</v>
      </c>
      <c r="G1223" s="2098" t="s">
        <v>6105</v>
      </c>
      <c r="H1223" s="2101" t="s">
        <v>6106</v>
      </c>
      <c r="I1223" s="2608"/>
      <c r="J1223" s="2608"/>
      <c r="K1223" s="2609"/>
      <c r="L1223" s="2101" t="s">
        <v>6107</v>
      </c>
      <c r="M1223" s="2608"/>
      <c r="N1223" s="2608"/>
      <c r="O1223" s="2609"/>
      <c r="P1223" s="2637" t="s">
        <v>2599</v>
      </c>
      <c r="Q1223" s="2255"/>
      <c r="R1223" s="2255"/>
      <c r="S1223" s="2255"/>
    </row>
    <row r="1224" spans="1:19" s="2094" customFormat="1" outlineLevel="1">
      <c r="A1224" s="2171" t="str">
        <f>A1223</f>
        <v/>
      </c>
      <c r="B1224" s="2250"/>
      <c r="C1224" s="2637"/>
      <c r="D1224" s="2639"/>
      <c r="E1224" s="2641"/>
      <c r="F1224" s="2637"/>
      <c r="G1224" s="2100" t="s">
        <v>2286</v>
      </c>
      <c r="H1224" s="2101" t="s">
        <v>6108</v>
      </c>
      <c r="I1224" s="2101" t="s">
        <v>6109</v>
      </c>
      <c r="J1224" s="2101" t="s">
        <v>6110</v>
      </c>
      <c r="K1224" s="2101" t="s">
        <v>6111</v>
      </c>
      <c r="L1224" s="2101" t="s">
        <v>6108</v>
      </c>
      <c r="M1224" s="2101" t="s">
        <v>6109</v>
      </c>
      <c r="N1224" s="2101" t="s">
        <v>6110</v>
      </c>
      <c r="O1224" s="2101" t="s">
        <v>6111</v>
      </c>
      <c r="P1224" s="2637"/>
      <c r="Q1224" s="2255"/>
      <c r="R1224" s="2255"/>
      <c r="S1224" s="2255"/>
    </row>
    <row r="1225" spans="1:19" s="2094" customFormat="1"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outlineLevel="1">
      <c r="A1226" s="2171" t="str">
        <f>IF(G1226&lt;&gt;0,1,"")</f>
        <v/>
      </c>
      <c r="B1226" s="2241" t="str">
        <f>IF($F$8=15,"tr160","tr1601")</f>
        <v>tr1601</v>
      </c>
      <c r="C1226" s="2257">
        <f>IF(G1226&gt;0,1,0)</f>
        <v>0</v>
      </c>
      <c r="D1226" s="2141" t="s">
        <v>5586</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outlineLevel="1">
      <c r="A1227" s="2171" t="str">
        <f>IF(G1227&lt;&gt;0,1,"")</f>
        <v/>
      </c>
      <c r="B1227" s="2241" t="str">
        <f>IF($F$8=15,"tr160","tr1601")</f>
        <v>tr1601</v>
      </c>
      <c r="C1227" s="2257">
        <f>IF(G1227&gt;0,1,0)</f>
        <v>0</v>
      </c>
      <c r="D1227" s="2141" t="s">
        <v>5586</v>
      </c>
      <c r="E1227" s="2183" t="s">
        <v>6216</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outlineLevel="1">
      <c r="A1228" s="2171" t="str">
        <f t="shared" ref="A1228:A1235" si="209">IF(G1228&lt;&gt;0,1,"")</f>
        <v/>
      </c>
      <c r="B1228" s="2107" t="str">
        <f>"FCO100-"&amp;$F$8</f>
        <v>FCO100-22</v>
      </c>
      <c r="C1228" s="2257">
        <f>IF(G1228&gt;0,C1226+1,C1226)</f>
        <v>0</v>
      </c>
      <c r="D1228" s="2141" t="s">
        <v>5594</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outlineLevel="1">
      <c r="A1230" s="2171" t="str">
        <f t="shared" si="209"/>
        <v/>
      </c>
      <c r="B1230" s="2250" t="str">
        <f>"LA"&amp;$F$6</f>
        <v>LA18</v>
      </c>
      <c r="C1230" s="2257">
        <f t="shared" si="210"/>
        <v>0</v>
      </c>
      <c r="D1230" s="2141" t="s">
        <v>5598</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outlineLevel="1">
      <c r="A1231" s="2171" t="str">
        <f>IF(G1231&lt;&gt;0,1,"")</f>
        <v/>
      </c>
      <c r="B1231" s="2346" t="s">
        <v>710</v>
      </c>
      <c r="C1231" s="2257">
        <f>IF(G1231&gt;0,C1229+1,C1229)</f>
        <v>0</v>
      </c>
      <c r="D1231" s="2141">
        <v>0</v>
      </c>
      <c r="E1231" s="2183" t="s">
        <v>6217</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outlineLevel="1">
      <c r="A1232" s="2171" t="str">
        <f t="shared" si="209"/>
        <v/>
      </c>
      <c r="B1232" s="2346" t="s">
        <v>710</v>
      </c>
      <c r="C1232" s="2257">
        <f>IF(G1232&gt;0,C1230+1,C1230)</f>
        <v>0</v>
      </c>
      <c r="D1232" s="2141">
        <v>0</v>
      </c>
      <c r="E1232" s="2183" t="s">
        <v>5678</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outlineLevel="1">
      <c r="A1233" s="2171" t="str">
        <f>IF(G1233&lt;&gt;0,1,"")</f>
        <v/>
      </c>
      <c r="B1233" s="2346" t="s">
        <v>6218</v>
      </c>
      <c r="C1233" s="2257">
        <f t="shared" si="210"/>
        <v>0</v>
      </c>
      <c r="D1233" s="2141" t="s">
        <v>1025</v>
      </c>
      <c r="E1233" s="2183" t="s">
        <v>5621</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outlineLevel="1">
      <c r="A1236" s="2171" t="str">
        <f>A1100</f>
        <v/>
      </c>
      <c r="B1236" s="2250"/>
      <c r="C1236" s="2382"/>
      <c r="D1236" s="2383"/>
      <c r="E1236" s="2384"/>
      <c r="F1236" s="2382"/>
      <c r="G1236" s="2625"/>
      <c r="H1236" s="2382"/>
      <c r="I1236" s="2382"/>
      <c r="J1236" s="2106" t="s">
        <v>6113</v>
      </c>
      <c r="K1236" s="2382"/>
      <c r="L1236" s="2384">
        <f>SUM(L1226:L1235)</f>
        <v>0</v>
      </c>
      <c r="M1236" s="2384">
        <f>SUM(M1226:M1235)</f>
        <v>0</v>
      </c>
      <c r="N1236" s="2384">
        <f>SUM(N1226:N1235)</f>
        <v>0</v>
      </c>
      <c r="O1236" s="2384">
        <f>SUM(O1226:O1235)</f>
        <v>0</v>
      </c>
      <c r="P1236" s="2385"/>
      <c r="Q1236" s="2255"/>
      <c r="R1236" s="2255"/>
      <c r="S1236" s="2255"/>
    </row>
    <row r="1237" spans="1:19" s="2094" customFormat="1"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outlineLevel="1">
      <c r="A1238" s="2171" t="str">
        <f t="shared" ref="A1238:A1256" si="211">IF(G1238&lt;&gt;0,1,"")</f>
        <v/>
      </c>
      <c r="B1238" s="2390"/>
      <c r="C1238" s="2391">
        <f>IF(G1238&gt;0,1,0)</f>
        <v>0</v>
      </c>
      <c r="D1238" s="2141"/>
      <c r="E1238" s="2392" t="s">
        <v>6114</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outlineLevel="1">
      <c r="A1242" s="2171" t="str">
        <f>IF(G1242&lt;&gt;0,1,"")</f>
        <v/>
      </c>
      <c r="B1242" s="2390"/>
      <c r="C1242" s="2391">
        <f>IF(G1242&gt;0,1,0)</f>
        <v>0</v>
      </c>
      <c r="D1242" s="2141"/>
      <c r="E1242" s="2392" t="s">
        <v>6209</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outlineLevel="1">
      <c r="A1247" s="2171" t="str">
        <f t="shared" si="211"/>
        <v/>
      </c>
      <c r="B1247" s="2346" t="s">
        <v>636</v>
      </c>
      <c r="C1247" s="2396"/>
      <c r="D1247" s="2141" t="s">
        <v>5043</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outlineLevel="1">
      <c r="A1248" s="2171" t="str">
        <f t="shared" si="211"/>
        <v/>
      </c>
      <c r="B1248" s="2346" t="s">
        <v>566</v>
      </c>
      <c r="C1248" s="2396"/>
      <c r="D1248" s="2141"/>
      <c r="E1248" s="2397" t="s">
        <v>5068</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outlineLevel="1">
      <c r="A1249" s="2171" t="str">
        <f t="shared" si="211"/>
        <v/>
      </c>
      <c r="B1249" s="2346" t="s">
        <v>639</v>
      </c>
      <c r="C1249" s="2396"/>
      <c r="D1249" s="2141" t="s">
        <v>1747</v>
      </c>
      <c r="E1249" s="2397" t="s">
        <v>5320</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outlineLevel="1">
      <c r="A1250" s="2171" t="str">
        <f t="shared" si="211"/>
        <v/>
      </c>
      <c r="B1250" s="2346" t="s">
        <v>21</v>
      </c>
      <c r="C1250" s="2396"/>
      <c r="D1250" s="2141" t="s">
        <v>5321</v>
      </c>
      <c r="E1250" s="2397" t="s">
        <v>5322</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outlineLevel="1">
      <c r="A1252" s="2171" t="str">
        <f>IF(G1252&lt;&gt;0,1,"")</f>
        <v/>
      </c>
      <c r="B1252" s="2346" t="s">
        <v>636</v>
      </c>
      <c r="C1252" s="2396"/>
      <c r="D1252" s="2141" t="s">
        <v>5043</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outlineLevel="1">
      <c r="A1253" s="2171" t="str">
        <f>IF(G1253&lt;&gt;0,1,"")</f>
        <v/>
      </c>
      <c r="B1253" s="2346" t="s">
        <v>566</v>
      </c>
      <c r="C1253" s="2396"/>
      <c r="D1253" s="2141"/>
      <c r="E1253" s="2397" t="s">
        <v>5068</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outlineLevel="1">
      <c r="A1254" s="2171" t="str">
        <f>IF(G1254&lt;&gt;0,1,"")</f>
        <v/>
      </c>
      <c r="B1254" s="2346" t="s">
        <v>639</v>
      </c>
      <c r="C1254" s="2396"/>
      <c r="D1254" s="2141" t="s">
        <v>1747</v>
      </c>
      <c r="E1254" s="2397" t="s">
        <v>5320</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outlineLevel="1">
      <c r="A1255" s="2171" t="str">
        <f>IF(G1255&lt;&gt;0,1,"")</f>
        <v/>
      </c>
      <c r="B1255" s="2346" t="s">
        <v>21</v>
      </c>
      <c r="C1255" s="2396"/>
      <c r="D1255" s="2141" t="s">
        <v>5321</v>
      </c>
      <c r="E1255" s="2397" t="s">
        <v>5322</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4.4" outlineLevel="1">
      <c r="A1257" s="2171" t="str">
        <f>A1256</f>
        <v/>
      </c>
      <c r="B1257" s="2250"/>
      <c r="C1257" s="2247"/>
      <c r="D1257" s="2403"/>
      <c r="E1257" s="2256" t="s">
        <v>6125</v>
      </c>
      <c r="F1257" s="2257"/>
      <c r="G1257" s="2415"/>
      <c r="H1257" s="2404"/>
      <c r="I1257" s="2404"/>
      <c r="J1257" s="2404"/>
      <c r="K1257" s="2404"/>
      <c r="L1257" s="2404"/>
      <c r="M1257" s="2404"/>
      <c r="N1257" s="2404"/>
      <c r="O1257" s="2404"/>
      <c r="P1257" s="2254"/>
      <c r="Q1257" s="2255"/>
      <c r="R1257" s="2255"/>
      <c r="S1257" s="2255"/>
    </row>
    <row r="1258" spans="1:21" s="2094" customFormat="1" outlineLevel="1">
      <c r="A1258" s="2171" t="str">
        <f t="shared" ref="A1258:A1263" si="212">IF(G1258&lt;&gt;0,1,"")</f>
        <v/>
      </c>
      <c r="B1258" s="2241" t="s">
        <v>1136</v>
      </c>
      <c r="C1258" s="2247"/>
      <c r="D1258" s="2141">
        <v>0</v>
      </c>
      <c r="E1258" s="2183" t="s">
        <v>6330</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outlineLevel="1">
      <c r="A1259" s="2171" t="str">
        <f t="shared" si="212"/>
        <v/>
      </c>
      <c r="B1259" s="2241" t="s">
        <v>1137</v>
      </c>
      <c r="C1259" s="2247"/>
      <c r="D1259" s="2141">
        <v>0</v>
      </c>
      <c r="E1259" s="2183" t="s">
        <v>6331</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outlineLevel="1">
      <c r="A1260" s="2171" t="str">
        <f t="shared" si="212"/>
        <v/>
      </c>
      <c r="B1260" s="2241" t="s">
        <v>1138</v>
      </c>
      <c r="C1260" s="2247"/>
      <c r="D1260" s="2141">
        <v>0</v>
      </c>
      <c r="E1260" s="2183" t="s">
        <v>6332</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outlineLevel="1">
      <c r="A1264" s="2171" t="str">
        <f>IF(G1264&lt;&gt;0,1,"")</f>
        <v/>
      </c>
      <c r="B1264" s="2110" t="s">
        <v>5421</v>
      </c>
      <c r="C1264" s="2247"/>
      <c r="D1264" s="2141" t="s">
        <v>5422</v>
      </c>
      <c r="E1264" s="2183" t="s">
        <v>5423</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outlineLevel="1">
      <c r="A1265" s="2171" t="str">
        <f>IF(G1265&lt;&gt;0,1,"")</f>
        <v/>
      </c>
      <c r="B1265" s="2250"/>
      <c r="C1265" s="2247">
        <f>IF(G1265&gt;0,C1256+1,C1256)</f>
        <v>0</v>
      </c>
      <c r="D1265" s="2248"/>
      <c r="E1265" s="2406" t="s">
        <v>6219</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4.4" outlineLevel="1">
      <c r="A1266" s="2171" t="str">
        <f>A1265</f>
        <v/>
      </c>
      <c r="B1266" s="2250"/>
      <c r="C1266" s="2247"/>
      <c r="D1266" s="2248"/>
      <c r="E1266" s="2256" t="s">
        <v>6125</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outlineLevel="1">
      <c r="A1267" s="2171" t="str">
        <f>IF(G1267&lt;&gt;0,1,"")</f>
        <v/>
      </c>
      <c r="B1267" s="2241" t="s">
        <v>6220</v>
      </c>
      <c r="C1267" s="2247"/>
      <c r="D1267" s="2141">
        <v>0</v>
      </c>
      <c r="E1267" s="2183" t="s">
        <v>5239</v>
      </c>
      <c r="F1267" s="2141" t="s">
        <v>5170</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outlineLevel="1">
      <c r="A1269" s="2171" t="str">
        <f>IF(G1269&lt;&gt;0,1,"")</f>
        <v/>
      </c>
      <c r="B1269" s="2110" t="s">
        <v>5421</v>
      </c>
      <c r="C1269" s="2247"/>
      <c r="D1269" s="2141" t="s">
        <v>5422</v>
      </c>
      <c r="E1269" s="2183" t="s">
        <v>5423</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outlineLevel="1">
      <c r="A1270" s="2171" t="str">
        <f>IF(G1270&lt;&gt;0,1,"")</f>
        <v/>
      </c>
      <c r="B1270" s="2250"/>
      <c r="C1270" s="2247">
        <f>IF(G1270&gt;0,C1257+1,C1257)</f>
        <v>0</v>
      </c>
      <c r="D1270" s="2248"/>
      <c r="E1270" s="2406" t="s">
        <v>6211</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4.4" outlineLevel="1">
      <c r="A1271" s="2171" t="str">
        <f>A1270</f>
        <v/>
      </c>
      <c r="B1271" s="2250"/>
      <c r="C1271" s="2247"/>
      <c r="D1271" s="2248"/>
      <c r="E1271" s="2256" t="s">
        <v>6125</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outlineLevel="1">
      <c r="A1272" s="2171" t="str">
        <f>IF(G1272&lt;&gt;0,1,"")</f>
        <v/>
      </c>
      <c r="B1272" s="2122" t="s">
        <v>5151</v>
      </c>
      <c r="C1272" s="2247"/>
      <c r="D1272" s="2141">
        <v>0</v>
      </c>
      <c r="E1272" s="2183" t="s">
        <v>5152</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outlineLevel="1">
      <c r="A1273" s="2171" t="str">
        <f>IF(G1273&lt;&gt;0,1,"")</f>
        <v/>
      </c>
      <c r="B1273" s="2119" t="s">
        <v>488</v>
      </c>
      <c r="C1273" s="2247"/>
      <c r="D1273" s="2141">
        <v>0</v>
      </c>
      <c r="E1273" s="2183" t="s">
        <v>5074</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outlineLevel="1">
      <c r="A1275" s="2171" t="str">
        <f>IF(G1275&lt;&gt;0,1,"")</f>
        <v/>
      </c>
      <c r="B1275" s="2110" t="s">
        <v>5370</v>
      </c>
      <c r="C1275" s="2247"/>
      <c r="D1275" s="2141" t="s">
        <v>5144</v>
      </c>
      <c r="E1275" s="2183" t="s">
        <v>5371</v>
      </c>
      <c r="F1275" s="2141" t="s">
        <v>2439</v>
      </c>
      <c r="G1275" s="2415">
        <f>+G1270</f>
        <v>0</v>
      </c>
      <c r="H1275" s="2253">
        <v>0</v>
      </c>
      <c r="I1275" s="2348"/>
      <c r="J1275" s="2348" t="s">
        <v>6343</v>
      </c>
      <c r="K1275" s="2348"/>
      <c r="L1275" s="2349">
        <f t="shared" si="218"/>
        <v>0</v>
      </c>
      <c r="M1275" s="2349"/>
      <c r="N1275" s="2348">
        <v>0</v>
      </c>
      <c r="O1275" s="2349"/>
      <c r="P1275" s="2254"/>
      <c r="Q1275" s="2255"/>
      <c r="R1275" s="2255"/>
      <c r="S1275" s="2255"/>
    </row>
    <row r="1276" spans="1:20" s="2094" customFormat="1" outlineLevel="1">
      <c r="A1276" s="2171" t="str">
        <f>IF(G1276&lt;&gt;0,1,"")</f>
        <v/>
      </c>
      <c r="B1276" s="2250"/>
      <c r="C1276" s="2247">
        <f>IF(G1276&gt;0,C1265+1,C1265)</f>
        <v>0</v>
      </c>
      <c r="D1276" s="2248"/>
      <c r="E1276" s="2406" t="s">
        <v>6213</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4.4" outlineLevel="1">
      <c r="A1277" s="2171" t="str">
        <f>A1276</f>
        <v/>
      </c>
      <c r="B1277" s="2250"/>
      <c r="C1277" s="2247"/>
      <c r="D1277" s="2248"/>
      <c r="E1277" s="2256" t="s">
        <v>6125</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outlineLevel="1">
      <c r="A1281" s="2171" t="str">
        <f>IF(G1281&lt;&gt;0,1,"")</f>
        <v/>
      </c>
      <c r="B1281" s="2110" t="s">
        <v>5421</v>
      </c>
      <c r="C1281" s="2247"/>
      <c r="D1281" s="2141" t="s">
        <v>5422</v>
      </c>
      <c r="E1281" s="2183" t="s">
        <v>5423</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4.4" outlineLevel="1">
      <c r="A1283" s="2171" t="str">
        <f>+A1282</f>
        <v/>
      </c>
      <c r="B1283" s="2407"/>
      <c r="C1283" s="2247"/>
      <c r="D1283" s="2248"/>
      <c r="E1283" s="2256" t="s">
        <v>6125</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outlineLevel="1">
      <c r="A1285" s="2171" t="str">
        <f t="shared" si="221"/>
        <v/>
      </c>
      <c r="B1285" s="2241" t="s">
        <v>1508</v>
      </c>
      <c r="C1285" s="2247"/>
      <c r="D1285" s="2141">
        <v>0</v>
      </c>
      <c r="E1285" s="2183" t="s">
        <v>5159</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outlineLevel="1">
      <c r="A1289" s="2171" t="str">
        <f>IF(G1289&lt;&gt;0,1,"")</f>
        <v/>
      </c>
      <c r="B1289" s="2250" t="s">
        <v>6185</v>
      </c>
      <c r="C1289" s="2408"/>
      <c r="D1289" s="2141" t="s">
        <v>5721</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outlineLevel="1">
      <c r="A1290" s="2171" t="str">
        <f t="shared" si="221"/>
        <v/>
      </c>
      <c r="B1290" s="2250" t="s">
        <v>6186</v>
      </c>
      <c r="C1290" s="2408"/>
      <c r="D1290" s="2141" t="s">
        <v>5722</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outlineLevel="1">
      <c r="A1292" s="2171" t="str">
        <f t="shared" si="221"/>
        <v/>
      </c>
      <c r="B1292" s="2241" t="s">
        <v>525</v>
      </c>
      <c r="C1292" s="2247"/>
      <c r="D1292" s="2141">
        <v>0</v>
      </c>
      <c r="E1292" s="2183" t="s">
        <v>5248</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outlineLevel="1">
      <c r="A1293" s="2171" t="str">
        <f t="shared" si="221"/>
        <v/>
      </c>
      <c r="B1293" s="2119" t="s">
        <v>5177</v>
      </c>
      <c r="C1293" s="2247"/>
      <c r="D1293" s="2141">
        <v>0</v>
      </c>
      <c r="E1293" s="2183" t="s">
        <v>5178</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outlineLevel="1">
      <c r="A1294" s="2171" t="str">
        <f t="shared" si="221"/>
        <v/>
      </c>
      <c r="B1294" s="2119" t="s">
        <v>5179</v>
      </c>
      <c r="C1294" s="2247"/>
      <c r="D1294" s="2141">
        <v>0</v>
      </c>
      <c r="E1294" s="2183" t="s">
        <v>5180</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outlineLevel="1">
      <c r="A1295" s="2171" t="str">
        <f t="shared" si="221"/>
        <v/>
      </c>
      <c r="B1295" s="2241" t="s">
        <v>1585</v>
      </c>
      <c r="C1295" s="2247"/>
      <c r="D1295" s="2141">
        <v>0</v>
      </c>
      <c r="E1295" s="2183" t="s">
        <v>5709</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outlineLevel="1">
      <c r="A1296" s="2171">
        <f>IF(G1296=0,0,1)</f>
        <v>0</v>
      </c>
      <c r="B1296" s="2241" t="s">
        <v>794</v>
      </c>
      <c r="C1296" s="2257"/>
      <c r="D1296" s="2141" t="s">
        <v>5332</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outlineLevel="1">
      <c r="A1297" s="2171">
        <f>IF(G1297=0,0,1)</f>
        <v>0</v>
      </c>
      <c r="B1297" s="2241" t="s">
        <v>1056</v>
      </c>
      <c r="C1297" s="2257"/>
      <c r="D1297" s="2141" t="s">
        <v>5321</v>
      </c>
      <c r="E1297" s="2183" t="s">
        <v>5333</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outlineLevel="1">
      <c r="A1298" s="2171">
        <f>IF(G1298=0,0,1)</f>
        <v>0</v>
      </c>
      <c r="B1298" s="2241" t="s">
        <v>902</v>
      </c>
      <c r="C1298" s="2257"/>
      <c r="D1298" s="2141" t="s">
        <v>5347</v>
      </c>
      <c r="E1298" s="2183" t="s">
        <v>5348</v>
      </c>
      <c r="F1298" s="2141" t="s">
        <v>2278</v>
      </c>
      <c r="G1298" s="2415">
        <f>G1285</f>
        <v>0</v>
      </c>
      <c r="H1298" s="2253">
        <v>0</v>
      </c>
      <c r="I1298" s="2253"/>
      <c r="J1298" s="2253" t="s">
        <v>6304</v>
      </c>
      <c r="K1298" s="2253">
        <v>0</v>
      </c>
      <c r="L1298" s="2253">
        <f>H1298*$G1298</f>
        <v>0</v>
      </c>
      <c r="M1298" s="2253">
        <f>I1298*$G1298</f>
        <v>0</v>
      </c>
      <c r="N1298" s="2253">
        <v>0</v>
      </c>
      <c r="O1298" s="2253">
        <f>K1298*$G1298</f>
        <v>0</v>
      </c>
      <c r="P1298" s="2378"/>
      <c r="Q1298" s="2255"/>
      <c r="R1298" s="2255"/>
      <c r="S1298" s="2255"/>
    </row>
    <row r="1299" spans="1:20" s="2094" customFormat="1" outlineLevel="1">
      <c r="A1299" s="2171" t="str">
        <f>IF(G1299&lt;&gt;0,1,"")</f>
        <v/>
      </c>
      <c r="B1299" s="2241" t="s">
        <v>1437</v>
      </c>
      <c r="C1299" s="2247"/>
      <c r="D1299" s="2141" t="s">
        <v>5342</v>
      </c>
      <c r="E1299" s="2183" t="s">
        <v>5343</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outlineLevel="1">
      <c r="A1300" s="2171" t="str">
        <f>IF(G1300&lt;&gt;0,1,"")</f>
        <v/>
      </c>
      <c r="B1300" s="2250"/>
      <c r="C1300" s="2247">
        <f>IF(G1300&gt;0,C1282+1,C1282)</f>
        <v>0</v>
      </c>
      <c r="D1300" s="2248"/>
      <c r="E1300" s="2251" t="s">
        <v>6214</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4.4" outlineLevel="1">
      <c r="A1301" s="2171" t="str">
        <f>A1300</f>
        <v/>
      </c>
      <c r="B1301" s="2250"/>
      <c r="C1301" s="2247"/>
      <c r="D1301" s="2248"/>
      <c r="E1301" s="2256" t="s">
        <v>6125</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outlineLevel="1">
      <c r="A1302" s="2171" t="str">
        <f>IF(G1302&lt;&gt;0,1,"")</f>
        <v/>
      </c>
      <c r="B1302" s="2250" t="s">
        <v>653</v>
      </c>
      <c r="C1302" s="2257"/>
      <c r="D1302" s="2141">
        <v>0</v>
      </c>
      <c r="E1302" s="2183" t="s">
        <v>5285</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outlineLevel="1">
      <c r="A1305" s="2171" t="str">
        <f>IF(G1305&lt;&gt;0,1,"")</f>
        <v/>
      </c>
      <c r="B1305" s="2250" t="s">
        <v>654</v>
      </c>
      <c r="C1305" s="2257"/>
      <c r="D1305" s="2141" t="s">
        <v>5467</v>
      </c>
      <c r="E1305" s="2183" t="s">
        <v>5470</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outlineLevel="1">
      <c r="A1306" s="2171" t="str">
        <f>IF(G1306&lt;&gt;0,1,"")</f>
        <v/>
      </c>
      <c r="B1306" s="2250"/>
      <c r="C1306" s="2247">
        <f>IF(G1306&gt;0,C1300+1,C1300)</f>
        <v>0</v>
      </c>
      <c r="D1306" s="2248"/>
      <c r="E1306" s="2365" t="s">
        <v>6201</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4.4" outlineLevel="1">
      <c r="A1307" s="2171" t="str">
        <f>A1306</f>
        <v/>
      </c>
      <c r="B1307" s="2250"/>
      <c r="C1307" s="2247"/>
      <c r="D1307" s="2248"/>
      <c r="E1307" s="2256" t="s">
        <v>6125</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outlineLevel="1">
      <c r="A1308" s="2171" t="str">
        <f>IF(G1308&lt;&gt;0,1,"")</f>
        <v/>
      </c>
      <c r="B1308" s="2169" t="s">
        <v>838</v>
      </c>
      <c r="C1308" s="2257"/>
      <c r="D1308" s="2141"/>
      <c r="E1308" s="2183" t="s">
        <v>5655</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outlineLevel="1">
      <c r="A1309" s="2171" t="str">
        <f>IF(G1309&lt;&gt;0,1,"")</f>
        <v/>
      </c>
      <c r="B1309" s="2169" t="s">
        <v>5639</v>
      </c>
      <c r="C1309" s="2247"/>
      <c r="D1309" s="2141" t="s">
        <v>5629</v>
      </c>
      <c r="E1309" s="2183" t="s">
        <v>5640</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outlineLevel="1">
      <c r="A1310" s="2171" t="str">
        <f>IF(G1310&lt;&gt;0,1,"")</f>
        <v/>
      </c>
      <c r="B1310" s="2250" t="s">
        <v>289</v>
      </c>
      <c r="C1310" s="2257"/>
      <c r="D1310" s="2141"/>
      <c r="E1310" s="2183" t="s">
        <v>5708</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4.4" outlineLevel="1">
      <c r="A1312" s="2171" t="str">
        <f>A1311</f>
        <v/>
      </c>
      <c r="B1312" s="2250"/>
      <c r="C1312" s="2247"/>
      <c r="D1312" s="2248"/>
      <c r="E1312" s="2263" t="s">
        <v>6125</v>
      </c>
      <c r="F1312" s="2247"/>
      <c r="G1312" s="2219"/>
      <c r="H1312" s="2253"/>
      <c r="I1312" s="2253"/>
      <c r="J1312" s="2253"/>
      <c r="K1312" s="2253"/>
      <c r="L1312" s="2253"/>
      <c r="M1312" s="2253"/>
      <c r="N1312" s="2253"/>
      <c r="O1312" s="2253"/>
      <c r="P1312" s="2378"/>
      <c r="Q1312" s="2255"/>
      <c r="R1312" s="2255"/>
      <c r="S1312" s="2255"/>
    </row>
    <row r="1313" spans="1:20" s="2094" customFormat="1" outlineLevel="1">
      <c r="A1313" s="2171" t="str">
        <f>IF(G1313&lt;&gt;0,1,"")</f>
        <v/>
      </c>
      <c r="B1313" s="2241" t="s">
        <v>697</v>
      </c>
      <c r="C1313" s="2257"/>
      <c r="D1313" s="2141">
        <v>0</v>
      </c>
      <c r="E1313" s="2183" t="s">
        <v>5083</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outlineLevel="1">
      <c r="A1314" s="2171" t="str">
        <f>IF(G1314&lt;&gt;0,1,"")</f>
        <v/>
      </c>
      <c r="B1314" s="2241" t="s">
        <v>5695</v>
      </c>
      <c r="C1314" s="2257"/>
      <c r="D1314" s="2141">
        <v>0</v>
      </c>
      <c r="E1314" s="2183" t="s">
        <v>5696</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outlineLevel="1">
      <c r="A1315" s="2171" t="str">
        <f>IF(G1315&lt;&gt;0,1,"")</f>
        <v/>
      </c>
      <c r="B1315" s="2241" t="s">
        <v>5701</v>
      </c>
      <c r="C1315" s="2257"/>
      <c r="D1315" s="2141">
        <v>0</v>
      </c>
      <c r="E1315" s="2183" t="s">
        <v>5702</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outlineLevel="1">
      <c r="A1316" s="2171" t="str">
        <f>IF(G1316&lt;&gt;0,1,"")</f>
        <v/>
      </c>
      <c r="B1316" s="2241" t="s">
        <v>5703</v>
      </c>
      <c r="C1316" s="2257"/>
      <c r="D1316" s="2141">
        <v>0</v>
      </c>
      <c r="E1316" s="2183" t="s">
        <v>5704</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outlineLevel="1">
      <c r="A1317" s="2171" t="str">
        <f>IF(G1317&lt;&gt;0,1,"")</f>
        <v/>
      </c>
      <c r="B1317" s="2418" t="s">
        <v>5700</v>
      </c>
      <c r="C1317" s="2257"/>
      <c r="D1317" s="2141">
        <v>0</v>
      </c>
      <c r="E1317" s="2183" t="s">
        <v>4536</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outlineLevel="1">
      <c r="A1319" s="2171" t="str">
        <f t="shared" si="229"/>
        <v/>
      </c>
      <c r="B1319" s="2346" t="s">
        <v>1477</v>
      </c>
      <c r="C1319" s="2257"/>
      <c r="D1319" s="2141"/>
      <c r="E1319" s="2183" t="s">
        <v>6338</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outlineLevel="1">
      <c r="A1322" s="2171" t="str">
        <f>IF(G1322&lt;&gt;0,1,"")</f>
        <v/>
      </c>
      <c r="B1322" s="2241" t="s">
        <v>1565</v>
      </c>
      <c r="C1322" s="2257"/>
      <c r="D1322" s="2141" t="s">
        <v>5556</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outlineLevel="1">
      <c r="A1323" s="2171" t="str">
        <f>IF(G1323&lt;&gt;0,1,"")</f>
        <v/>
      </c>
      <c r="B1323" s="2241" t="s">
        <v>1525</v>
      </c>
      <c r="C1323" s="2257"/>
      <c r="D1323" s="2141" t="s">
        <v>5567</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4.4" outlineLevel="1">
      <c r="A1325" s="2171" t="str">
        <f>A1324</f>
        <v/>
      </c>
      <c r="B1325" s="2250"/>
      <c r="C1325" s="2247"/>
      <c r="D1325" s="2248"/>
      <c r="E1325" s="2263" t="s">
        <v>6125</v>
      </c>
      <c r="F1325" s="2247"/>
      <c r="G1325" s="2219"/>
      <c r="H1325" s="2253"/>
      <c r="I1325" s="2253"/>
      <c r="J1325" s="2253"/>
      <c r="K1325" s="2253"/>
      <c r="L1325" s="2253"/>
      <c r="M1325" s="2253"/>
      <c r="N1325" s="2253"/>
      <c r="O1325" s="2253"/>
      <c r="P1325" s="2254"/>
      <c r="Q1325" s="2255"/>
      <c r="R1325" s="2255"/>
      <c r="S1325" s="2255"/>
    </row>
    <row r="1326" spans="1:20" s="2094" customFormat="1"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outlineLevel="1">
      <c r="A1327" s="2171" t="str">
        <f>IF(G1327&lt;&gt;0,1,"")</f>
        <v/>
      </c>
      <c r="B1327" s="2250" t="s">
        <v>86</v>
      </c>
      <c r="C1327" s="2257"/>
      <c r="D1327" s="2141">
        <v>0</v>
      </c>
      <c r="E1327" s="2183" t="s">
        <v>5793</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outlineLevel="1">
      <c r="A1330" s="2268" t="str">
        <f>IF(G1330&lt;&gt;0,1,"")</f>
        <v/>
      </c>
      <c r="B1330" s="2419"/>
      <c r="C1330" s="2247">
        <f>IF(G1330&gt;0,C1324+1,C1324)</f>
        <v>0</v>
      </c>
      <c r="D1330" s="2248"/>
      <c r="E1330" s="2249" t="s">
        <v>6215</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4.4" outlineLevel="1">
      <c r="A1331" s="2171" t="str">
        <f>A1330</f>
        <v/>
      </c>
      <c r="B1331" s="2241"/>
      <c r="C1331" s="2247"/>
      <c r="D1331" s="2248"/>
      <c r="E1331" s="2263" t="s">
        <v>6125</v>
      </c>
      <c r="F1331" s="2247"/>
      <c r="G1331" s="2415"/>
      <c r="H1331" s="2253"/>
      <c r="I1331" s="2253"/>
      <c r="J1331" s="2253"/>
      <c r="K1331" s="2253"/>
      <c r="L1331" s="2253"/>
      <c r="M1331" s="2253"/>
      <c r="N1331" s="2253"/>
      <c r="O1331" s="2253"/>
      <c r="P1331" s="2378"/>
      <c r="Q1331" s="2255"/>
      <c r="R1331" s="2255"/>
      <c r="S1331" s="2255"/>
    </row>
    <row r="1332" spans="1:20" s="2094" customFormat="1"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outlineLevel="1">
      <c r="A1335" s="2171" t="str">
        <f t="shared" si="234"/>
        <v/>
      </c>
      <c r="B1335" s="2250" t="s">
        <v>6175</v>
      </c>
      <c r="C1335" s="2257"/>
      <c r="D1335" s="2141" t="s">
        <v>5724</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outlineLevel="1">
      <c r="A1336" s="2171" t="str">
        <f t="shared" si="234"/>
        <v/>
      </c>
      <c r="B1336" s="2250" t="s">
        <v>6170</v>
      </c>
      <c r="C1336" s="2257"/>
      <c r="D1336" s="2141" t="s">
        <v>5722</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outlineLevel="1">
      <c r="A1340" s="2171" t="str">
        <f t="shared" si="234"/>
        <v/>
      </c>
      <c r="B1340" s="2241" t="s">
        <v>731</v>
      </c>
      <c r="C1340" s="2257"/>
      <c r="D1340" s="2141">
        <v>0</v>
      </c>
      <c r="E1340" s="2183" t="s">
        <v>5254</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outlineLevel="1">
      <c r="A1343" s="2171" t="str">
        <f t="shared" si="234"/>
        <v/>
      </c>
      <c r="B1343" s="2110" t="s">
        <v>1740</v>
      </c>
      <c r="C1343" s="2257"/>
      <c r="D1343" s="2141">
        <v>0</v>
      </c>
      <c r="E1343" s="2183" t="s">
        <v>5791</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outlineLevel="1">
      <c r="A1344" s="2171" t="str">
        <f t="shared" si="234"/>
        <v/>
      </c>
      <c r="B1344" s="2423" t="s">
        <v>5783</v>
      </c>
      <c r="C1344" s="2257"/>
      <c r="D1344" s="2141"/>
      <c r="E1344" s="2183" t="s">
        <v>5784</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outlineLevel="1">
      <c r="A1345" s="2171" t="str">
        <f t="shared" si="234"/>
        <v/>
      </c>
      <c r="B1345" s="2169" t="s">
        <v>5787</v>
      </c>
      <c r="C1345" s="2257"/>
      <c r="D1345" s="2141">
        <v>0</v>
      </c>
      <c r="E1345" s="2183" t="s">
        <v>5788</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outlineLevel="1">
      <c r="A1346" s="2171" t="str">
        <f t="shared" si="234"/>
        <v/>
      </c>
      <c r="B1346" s="2424" t="s">
        <v>5249</v>
      </c>
      <c r="C1346" s="2257"/>
      <c r="D1346" s="2141">
        <v>0</v>
      </c>
      <c r="E1346" s="2183" t="s">
        <v>5250</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outlineLevel="1">
      <c r="A1347" s="2171" t="str">
        <f t="shared" si="234"/>
        <v/>
      </c>
      <c r="B1347" s="2423" t="s">
        <v>6221</v>
      </c>
      <c r="C1347" s="2257"/>
      <c r="D1347" s="2141">
        <v>0</v>
      </c>
      <c r="E1347" s="2183" t="s">
        <v>5804</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outlineLevel="1">
      <c r="A1348" s="2171" t="str">
        <f t="shared" si="234"/>
        <v/>
      </c>
      <c r="B1348" s="2423" t="s">
        <v>6222</v>
      </c>
      <c r="C1348" s="2257"/>
      <c r="D1348" s="2141"/>
      <c r="E1348" s="2183" t="s">
        <v>5808</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outlineLevel="1">
      <c r="A1349" s="2171" t="str">
        <f>IF(G1349&lt;&gt;0,1,"")</f>
        <v/>
      </c>
      <c r="B1349" s="2424" t="s">
        <v>6</v>
      </c>
      <c r="C1349" s="2257"/>
      <c r="D1349" s="2141">
        <v>0</v>
      </c>
      <c r="E1349" s="2183" t="s">
        <v>3566</v>
      </c>
      <c r="F1349" s="2141" t="s">
        <v>5802</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outlineLevel="1">
      <c r="A1350" s="2171" t="str">
        <f>IF(G1350&lt;&gt;0,1,"")</f>
        <v/>
      </c>
      <c r="B1350" s="2241" t="s">
        <v>672</v>
      </c>
      <c r="C1350" s="2257"/>
      <c r="D1350" s="2141">
        <v>0</v>
      </c>
      <c r="E1350" s="2183" t="s">
        <v>5797</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outlineLevel="1">
      <c r="A1351" s="2171" t="str">
        <f>IF(G1351&lt;&gt;0,1,"")</f>
        <v/>
      </c>
      <c r="B1351" s="2241" t="s">
        <v>1525</v>
      </c>
      <c r="C1351" s="2257"/>
      <c r="D1351" s="2141" t="s">
        <v>5567</v>
      </c>
      <c r="E1351" s="2183" t="s">
        <v>6344</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outlineLevel="1">
      <c r="A1352" s="2171" t="str">
        <f>IF(G1352&lt;&gt;0,1,"")</f>
        <v/>
      </c>
      <c r="B1352" s="2241" t="s">
        <v>2006</v>
      </c>
      <c r="C1352" s="2257"/>
      <c r="D1352" s="2141" t="s">
        <v>5568</v>
      </c>
      <c r="E1352" s="2183" t="s">
        <v>6342</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outlineLevel="1">
      <c r="A1353" s="2171" t="str">
        <f>A1100</f>
        <v/>
      </c>
      <c r="B1353" s="2346"/>
      <c r="C1353" s="2412"/>
      <c r="D1353" s="2413"/>
      <c r="E1353" s="2388"/>
      <c r="F1353" s="2626"/>
      <c r="G1353" s="2627"/>
      <c r="H1353" s="2626"/>
      <c r="I1353" s="2626"/>
      <c r="J1353" s="2636" t="s">
        <v>6123</v>
      </c>
      <c r="K1353" s="2636"/>
      <c r="L1353" s="2414">
        <f>SUM(L1239:L1352)</f>
        <v>0</v>
      </c>
      <c r="M1353" s="2414">
        <f>SUM(M1239:M1352)</f>
        <v>0</v>
      </c>
      <c r="N1353" s="2414">
        <f>SUM(N1239:N1352)</f>
        <v>0</v>
      </c>
      <c r="O1353" s="2414">
        <f>SUM(O1239:O1352)</f>
        <v>0</v>
      </c>
      <c r="P1353" s="2385"/>
      <c r="Q1353" s="2255"/>
      <c r="R1353" s="2255"/>
      <c r="S1353" s="2255"/>
    </row>
    <row r="1354" spans="1:19" s="2094" customFormat="1" ht="13.95"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outlineLevel="1">
      <c r="A1356" s="2171">
        <f>A1354</f>
        <v>0</v>
      </c>
      <c r="B1356" s="2250" t="s">
        <v>6104</v>
      </c>
      <c r="C1356" s="2637" t="s">
        <v>1708</v>
      </c>
      <c r="D1356" s="2638" t="s">
        <v>2597</v>
      </c>
      <c r="E1356" s="2640" t="s">
        <v>2598</v>
      </c>
      <c r="F1356" s="2637" t="s">
        <v>2593</v>
      </c>
      <c r="G1356" s="2098" t="s">
        <v>6105</v>
      </c>
      <c r="H1356" s="2101" t="s">
        <v>6106</v>
      </c>
      <c r="I1356" s="2608"/>
      <c r="J1356" s="2608"/>
      <c r="K1356" s="2609"/>
      <c r="L1356" s="2101" t="s">
        <v>6107</v>
      </c>
      <c r="M1356" s="2608"/>
      <c r="N1356" s="2608"/>
      <c r="O1356" s="2609"/>
      <c r="P1356" s="2522" t="s">
        <v>2599</v>
      </c>
      <c r="Q1356" s="2255"/>
      <c r="R1356" s="2255"/>
      <c r="S1356" s="2255"/>
    </row>
    <row r="1357" spans="1:19" s="2094" customFormat="1" outlineLevel="1">
      <c r="A1357" s="2171">
        <f>A1356</f>
        <v>0</v>
      </c>
      <c r="B1357" s="2250"/>
      <c r="C1357" s="2637"/>
      <c r="D1357" s="2639"/>
      <c r="E1357" s="2641"/>
      <c r="F1357" s="2637"/>
      <c r="G1357" s="2100" t="s">
        <v>2286</v>
      </c>
      <c r="H1357" s="2101" t="s">
        <v>6108</v>
      </c>
      <c r="I1357" s="2101" t="s">
        <v>6109</v>
      </c>
      <c r="J1357" s="2101" t="s">
        <v>6110</v>
      </c>
      <c r="K1357" s="2101" t="s">
        <v>6111</v>
      </c>
      <c r="L1357" s="2101" t="s">
        <v>6108</v>
      </c>
      <c r="M1357" s="2101" t="s">
        <v>6109</v>
      </c>
      <c r="N1357" s="2101" t="s">
        <v>6110</v>
      </c>
      <c r="O1357" s="2101" t="s">
        <v>6111</v>
      </c>
      <c r="P1357" s="2522"/>
      <c r="Q1357" s="2255"/>
      <c r="R1357" s="2255"/>
      <c r="S1357" s="2255"/>
    </row>
    <row r="1358" spans="1:19" s="2094" customFormat="1"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outlineLevel="1">
      <c r="A1359" s="2171" t="str">
        <f t="shared" ref="A1359:A1368" si="239">IF(G1359&lt;&gt;0,1,"")</f>
        <v/>
      </c>
      <c r="B1359" s="2241" t="str">
        <f>IF($F$8=15,"tr250","tr2501")</f>
        <v>tr2501</v>
      </c>
      <c r="C1359" s="2257">
        <f>IF(G1359&gt;0,1,0)</f>
        <v>0</v>
      </c>
      <c r="D1359" s="2141" t="s">
        <v>5587</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outlineLevel="1">
      <c r="A1360" s="2171" t="str">
        <f t="shared" si="239"/>
        <v/>
      </c>
      <c r="B1360" s="2107" t="str">
        <f>"FCO100-"&amp;$F$8</f>
        <v>FCO100-22</v>
      </c>
      <c r="C1360" s="2257">
        <f>IF(G1360&gt;0,C1359+1,C1359)</f>
        <v>0</v>
      </c>
      <c r="D1360" s="2141" t="s">
        <v>5594</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outlineLevel="1">
      <c r="A1362" s="2171" t="str">
        <f t="shared" si="239"/>
        <v/>
      </c>
      <c r="B1362" s="2250" t="str">
        <f>"LA"&amp;$F$6</f>
        <v>LA18</v>
      </c>
      <c r="C1362" s="2257">
        <f t="shared" si="244"/>
        <v>0</v>
      </c>
      <c r="D1362" s="2141" t="s">
        <v>5598</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outlineLevel="1">
      <c r="A1363" s="2171" t="str">
        <f t="shared" si="239"/>
        <v/>
      </c>
      <c r="B1363" s="2346" t="s">
        <v>953</v>
      </c>
      <c r="C1363" s="2257">
        <f t="shared" si="244"/>
        <v>0</v>
      </c>
      <c r="D1363" s="2141" t="s">
        <v>5681</v>
      </c>
      <c r="E1363" s="2183" t="s">
        <v>5682</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outlineLevel="1">
      <c r="A1364" s="2171" t="str">
        <f>IF(G1364&lt;&gt;0,1,"")</f>
        <v/>
      </c>
      <c r="B1364" s="2346" t="s">
        <v>953</v>
      </c>
      <c r="C1364" s="2257">
        <f>IF(G1364&gt;0,C1363+1,C1363)</f>
        <v>0</v>
      </c>
      <c r="D1364" s="2141" t="s">
        <v>5681</v>
      </c>
      <c r="E1364" s="2183" t="s">
        <v>5682</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outlineLevel="1">
      <c r="A1365" s="2171" t="str">
        <f t="shared" si="239"/>
        <v/>
      </c>
      <c r="B1365" s="2346" t="s">
        <v>6223</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outlineLevel="1">
      <c r="A1369" s="2171">
        <f>A1354</f>
        <v>0</v>
      </c>
      <c r="B1369" s="2250"/>
      <c r="C1369" s="2382"/>
      <c r="D1369" s="2383"/>
      <c r="E1369" s="2384"/>
      <c r="F1369" s="2382"/>
      <c r="G1369" s="2434"/>
      <c r="H1369" s="2382"/>
      <c r="I1369" s="2382"/>
      <c r="J1369" s="2106" t="s">
        <v>6113</v>
      </c>
      <c r="K1369" s="2382"/>
      <c r="L1369" s="2384">
        <f>SUM(L1359:L1368)</f>
        <v>0</v>
      </c>
      <c r="M1369" s="2384">
        <f>SUM(M1359:M1368)</f>
        <v>0</v>
      </c>
      <c r="N1369" s="2384">
        <f>SUM(N1359:N1368)</f>
        <v>0</v>
      </c>
      <c r="O1369" s="2384">
        <f>SUM(O1359:O1368)</f>
        <v>0</v>
      </c>
      <c r="P1369" s="2435"/>
      <c r="Q1369" s="2255"/>
      <c r="R1369" s="2255"/>
      <c r="S1369" s="2255"/>
    </row>
    <row r="1370" spans="1:19" s="2094" customFormat="1"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outlineLevel="1">
      <c r="A1371" s="2171" t="str">
        <f t="shared" ref="A1371:A1389" si="245">IF(G1371&lt;&gt;0,1,"")</f>
        <v/>
      </c>
      <c r="B1371" s="2390"/>
      <c r="C1371" s="2391">
        <f>IF(G1371&gt;0,1,0)</f>
        <v>0</v>
      </c>
      <c r="D1371" s="2141"/>
      <c r="E1371" s="2392" t="s">
        <v>6224</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outlineLevel="1">
      <c r="A1375" s="2171" t="str">
        <f t="shared" si="245"/>
        <v/>
      </c>
      <c r="B1375" s="2390"/>
      <c r="C1375" s="2391">
        <f>IF(G1375&gt;0,1,0)</f>
        <v>0</v>
      </c>
      <c r="D1375" s="2141"/>
      <c r="E1375" s="2392" t="s">
        <v>6209</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outlineLevel="1">
      <c r="A1380" s="2171" t="str">
        <f t="shared" si="245"/>
        <v/>
      </c>
      <c r="B1380" s="2346" t="s">
        <v>636</v>
      </c>
      <c r="C1380" s="2396"/>
      <c r="D1380" s="2141" t="s">
        <v>5043</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outlineLevel="1">
      <c r="A1381" s="2171" t="str">
        <f t="shared" si="245"/>
        <v/>
      </c>
      <c r="B1381" s="2346" t="s">
        <v>566</v>
      </c>
      <c r="C1381" s="2396"/>
      <c r="D1381" s="2141"/>
      <c r="E1381" s="2397" t="s">
        <v>5068</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outlineLevel="1">
      <c r="A1382" s="2171" t="str">
        <f t="shared" si="245"/>
        <v/>
      </c>
      <c r="B1382" s="2346" t="s">
        <v>639</v>
      </c>
      <c r="C1382" s="2396"/>
      <c r="D1382" s="2141" t="s">
        <v>1747</v>
      </c>
      <c r="E1382" s="2397" t="s">
        <v>5320</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outlineLevel="1">
      <c r="A1383" s="2171" t="str">
        <f t="shared" si="245"/>
        <v/>
      </c>
      <c r="B1383" s="2346" t="s">
        <v>21</v>
      </c>
      <c r="C1383" s="2396"/>
      <c r="D1383" s="2141" t="s">
        <v>5321</v>
      </c>
      <c r="E1383" s="2397" t="s">
        <v>5322</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outlineLevel="1">
      <c r="A1385" s="2171" t="str">
        <f t="shared" si="245"/>
        <v/>
      </c>
      <c r="B1385" s="2346" t="s">
        <v>636</v>
      </c>
      <c r="C1385" s="2396"/>
      <c r="D1385" s="2141" t="s">
        <v>5043</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outlineLevel="1">
      <c r="A1386" s="2171" t="str">
        <f t="shared" si="245"/>
        <v/>
      </c>
      <c r="B1386" s="2346" t="s">
        <v>566</v>
      </c>
      <c r="C1386" s="2396"/>
      <c r="D1386" s="2141"/>
      <c r="E1386" s="2397" t="s">
        <v>5068</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outlineLevel="1">
      <c r="A1387" s="2171" t="str">
        <f t="shared" si="245"/>
        <v/>
      </c>
      <c r="B1387" s="2346" t="s">
        <v>639</v>
      </c>
      <c r="C1387" s="2396"/>
      <c r="D1387" s="2141" t="s">
        <v>1747</v>
      </c>
      <c r="E1387" s="2397" t="s">
        <v>5320</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outlineLevel="1">
      <c r="A1388" s="2171" t="str">
        <f t="shared" si="245"/>
        <v/>
      </c>
      <c r="B1388" s="2346" t="s">
        <v>21</v>
      </c>
      <c r="C1388" s="2396"/>
      <c r="D1388" s="2141" t="s">
        <v>5321</v>
      </c>
      <c r="E1388" s="2397" t="s">
        <v>5322</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4.4" outlineLevel="1">
      <c r="A1390" s="2171" t="str">
        <f>A1389</f>
        <v/>
      </c>
      <c r="B1390" s="2250"/>
      <c r="C1390" s="2247"/>
      <c r="D1390" s="2403"/>
      <c r="E1390" s="2256" t="s">
        <v>6125</v>
      </c>
      <c r="F1390" s="2257"/>
      <c r="G1390" s="2439"/>
      <c r="H1390" s="2404"/>
      <c r="I1390" s="2404"/>
      <c r="J1390" s="2404"/>
      <c r="K1390" s="2404"/>
      <c r="L1390" s="2404"/>
      <c r="M1390" s="2404"/>
      <c r="N1390" s="2404"/>
      <c r="O1390" s="2404"/>
      <c r="P1390" s="2438"/>
      <c r="Q1390" s="2255"/>
      <c r="R1390" s="2255"/>
      <c r="S1390" s="2255"/>
    </row>
    <row r="1391" spans="1:19" s="2094" customFormat="1" outlineLevel="1">
      <c r="A1391" s="2171" t="str">
        <f t="shared" ref="A1391:A1396" si="246">IF(G1391&lt;&gt;0,1,"")</f>
        <v/>
      </c>
      <c r="B1391" s="2241" t="s">
        <v>1408</v>
      </c>
      <c r="C1391" s="2247"/>
      <c r="D1391" s="2141">
        <v>0</v>
      </c>
      <c r="E1391" s="2183" t="s">
        <v>6345</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outlineLevel="1">
      <c r="A1392" s="2171" t="str">
        <f t="shared" si="246"/>
        <v/>
      </c>
      <c r="B1392" s="2241" t="s">
        <v>1137</v>
      </c>
      <c r="C1392" s="2247"/>
      <c r="D1392" s="2141">
        <v>0</v>
      </c>
      <c r="E1392" s="2183" t="s">
        <v>6331</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outlineLevel="1">
      <c r="A1393" s="2171" t="str">
        <f t="shared" si="246"/>
        <v/>
      </c>
      <c r="B1393" s="2241" t="s">
        <v>1138</v>
      </c>
      <c r="C1393" s="2247"/>
      <c r="D1393" s="2141">
        <v>0</v>
      </c>
      <c r="E1393" s="2183" t="s">
        <v>6332</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outlineLevel="1">
      <c r="A1397" s="2171" t="str">
        <f>IF(G1397&lt;&gt;0,1,"")</f>
        <v/>
      </c>
      <c r="B1397" s="2241" t="s">
        <v>2242</v>
      </c>
      <c r="C1397" s="2247"/>
      <c r="D1397" s="2141" t="s">
        <v>5440</v>
      </c>
      <c r="E1397" s="2183" t="s">
        <v>2440</v>
      </c>
      <c r="F1397" s="2141" t="s">
        <v>2439</v>
      </c>
      <c r="G1397" s="2259">
        <f>+G1389*1*0</f>
        <v>0</v>
      </c>
      <c r="H1397" s="2348">
        <v>0</v>
      </c>
      <c r="I1397" s="2405"/>
      <c r="J1397" s="2348" t="s">
        <v>6334</v>
      </c>
      <c r="K1397" s="2348">
        <v>0</v>
      </c>
      <c r="L1397" s="2349">
        <f>H1397*G1397</f>
        <v>0</v>
      </c>
      <c r="M1397" s="2349">
        <f t="shared" si="248"/>
        <v>0</v>
      </c>
      <c r="N1397" s="2348">
        <v>0</v>
      </c>
      <c r="O1397" s="2349">
        <f t="shared" si="249"/>
        <v>0</v>
      </c>
      <c r="P1397" s="2254"/>
      <c r="Q1397" s="2255"/>
      <c r="R1397" s="2255"/>
      <c r="S1397" s="2255"/>
    </row>
    <row r="1398" spans="1:19" s="2094" customFormat="1" outlineLevel="1">
      <c r="A1398" s="2171" t="str">
        <f>IF(G1398&lt;&gt;0,1,"")</f>
        <v/>
      </c>
      <c r="B1398" s="2110" t="s">
        <v>5421</v>
      </c>
      <c r="C1398" s="2247"/>
      <c r="D1398" s="2141" t="s">
        <v>5422</v>
      </c>
      <c r="E1398" s="2183" t="s">
        <v>5423</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outlineLevel="1">
      <c r="A1399" s="2171" t="str">
        <f>IF(G1399&lt;&gt;0,1,"")</f>
        <v/>
      </c>
      <c r="B1399" s="2250"/>
      <c r="C1399" s="2247">
        <f>IF(G1399&gt;0,C1389+1,C1385)</f>
        <v>0</v>
      </c>
      <c r="D1399" s="2248"/>
      <c r="E1399" s="2406" t="s">
        <v>6211</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4.4" outlineLevel="1">
      <c r="A1400" s="2171" t="str">
        <f>A1399</f>
        <v/>
      </c>
      <c r="B1400" s="2250"/>
      <c r="C1400" s="2247"/>
      <c r="D1400" s="2248"/>
      <c r="E1400" s="2256" t="s">
        <v>6125</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outlineLevel="1">
      <c r="A1401" s="2171" t="str">
        <f>IF(G1401&lt;&gt;0,1,"")</f>
        <v/>
      </c>
      <c r="B1401" s="2122" t="s">
        <v>5151</v>
      </c>
      <c r="C1401" s="2247"/>
      <c r="D1401" s="2141">
        <v>0</v>
      </c>
      <c r="E1401" s="2183" t="s">
        <v>5152</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outlineLevel="1">
      <c r="A1402" s="2171" t="str">
        <f>IF(G1402&lt;&gt;0,1,"")</f>
        <v/>
      </c>
      <c r="B1402" s="2119" t="s">
        <v>488</v>
      </c>
      <c r="C1402" s="2247"/>
      <c r="D1402" s="2141">
        <v>0</v>
      </c>
      <c r="E1402" s="2183" t="s">
        <v>5074</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outlineLevel="1">
      <c r="A1404" s="2171" t="str">
        <f>IF(G1404&lt;&gt;0,1,"")</f>
        <v/>
      </c>
      <c r="B1404" s="2110" t="s">
        <v>5372</v>
      </c>
      <c r="C1404" s="2247"/>
      <c r="D1404" s="2141" t="s">
        <v>5144</v>
      </c>
      <c r="E1404" s="2183" t="s">
        <v>5373</v>
      </c>
      <c r="F1404" s="2141" t="s">
        <v>2439</v>
      </c>
      <c r="G1404" s="2439">
        <f>+G1399</f>
        <v>0</v>
      </c>
      <c r="H1404" s="2253">
        <v>0</v>
      </c>
      <c r="I1404" s="2348"/>
      <c r="J1404" s="2348" t="s">
        <v>6346</v>
      </c>
      <c r="K1404" s="2348"/>
      <c r="L1404" s="2349">
        <f t="shared" si="247"/>
        <v>0</v>
      </c>
      <c r="M1404" s="2349"/>
      <c r="N1404" s="2348">
        <v>0</v>
      </c>
      <c r="O1404" s="2349"/>
      <c r="P1404" s="2438"/>
      <c r="Q1404" s="2255"/>
      <c r="R1404" s="2255"/>
      <c r="S1404" s="2255"/>
    </row>
    <row r="1405" spans="1:19" s="2094" customFormat="1" outlineLevel="1">
      <c r="A1405" s="2171" t="str">
        <f>IF(G1405&lt;&gt;0,1,"")</f>
        <v/>
      </c>
      <c r="B1405" s="2250"/>
      <c r="C1405" s="2247">
        <f>IF(G1405&gt;0,C1389+2,C1389)</f>
        <v>0</v>
      </c>
      <c r="D1405" s="2248"/>
      <c r="E1405" s="2406" t="s">
        <v>6225</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4.4" outlineLevel="1">
      <c r="A1406" s="2171" t="str">
        <f>A1405</f>
        <v/>
      </c>
      <c r="B1406" s="2250"/>
      <c r="C1406" s="2247"/>
      <c r="D1406" s="2248"/>
      <c r="E1406" s="2256" t="s">
        <v>6125</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outlineLevel="1">
      <c r="A1409" s="2171" t="str">
        <f>IF(G1409&lt;&gt;0,1,"")</f>
        <v/>
      </c>
      <c r="B1409" s="2110" t="s">
        <v>5421</v>
      </c>
      <c r="C1409" s="2247"/>
      <c r="D1409" s="2141" t="s">
        <v>5422</v>
      </c>
      <c r="E1409" s="2183" t="s">
        <v>5423</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outlineLevel="1">
      <c r="A1410" s="2171" t="str">
        <f>IF(G1410&lt;&gt;0,1,"")</f>
        <v/>
      </c>
      <c r="B1410" s="2250"/>
      <c r="C1410" s="2247">
        <f>IF(G1410&gt;0,C1405+1,C1405)</f>
        <v>0</v>
      </c>
      <c r="D1410" s="2248"/>
      <c r="E1410" s="2406" t="s">
        <v>6213</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4.4" outlineLevel="1">
      <c r="A1411" s="2171" t="str">
        <f>A1410</f>
        <v/>
      </c>
      <c r="B1411" s="2250"/>
      <c r="C1411" s="2247"/>
      <c r="D1411" s="2248"/>
      <c r="E1411" s="2256" t="s">
        <v>6125</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outlineLevel="1">
      <c r="A1415" s="2171" t="str">
        <f>IF(G1415&lt;&gt;0,1,"")</f>
        <v/>
      </c>
      <c r="B1415" s="2110" t="s">
        <v>5421</v>
      </c>
      <c r="C1415" s="2247"/>
      <c r="D1415" s="2141" t="s">
        <v>5422</v>
      </c>
      <c r="E1415" s="2183" t="s">
        <v>5423</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4.4" outlineLevel="1">
      <c r="A1417" s="2171" t="str">
        <f>+A1416</f>
        <v/>
      </c>
      <c r="B1417" s="2407"/>
      <c r="C1417" s="2247"/>
      <c r="D1417" s="2248"/>
      <c r="E1417" s="2256" t="s">
        <v>6125</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outlineLevel="1">
      <c r="A1419" s="2171" t="str">
        <f t="shared" si="251"/>
        <v/>
      </c>
      <c r="B1419" s="2241" t="s">
        <v>1508</v>
      </c>
      <c r="C1419" s="2247"/>
      <c r="D1419" s="2141">
        <v>0</v>
      </c>
      <c r="E1419" s="2183" t="s">
        <v>5159</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outlineLevel="1">
      <c r="A1423" s="2171" t="str">
        <f t="shared" ref="A1423:A1428" si="252">IF(G1423&lt;&gt;0,1,"")</f>
        <v/>
      </c>
      <c r="B1423" s="2250" t="s">
        <v>377</v>
      </c>
      <c r="C1423" s="2247"/>
      <c r="D1423" s="2141" t="s">
        <v>5721</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outlineLevel="1">
      <c r="A1424" s="2171" t="str">
        <f t="shared" si="252"/>
        <v/>
      </c>
      <c r="B1424" s="2241" t="s">
        <v>5295</v>
      </c>
      <c r="C1424" s="2247"/>
      <c r="D1424" s="2141" t="s">
        <v>5296</v>
      </c>
      <c r="E1424" s="2183" t="s">
        <v>5297</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outlineLevel="1">
      <c r="A1425" s="2171" t="str">
        <f t="shared" si="252"/>
        <v/>
      </c>
      <c r="B1425" s="2241" t="s">
        <v>525</v>
      </c>
      <c r="C1425" s="2247"/>
      <c r="D1425" s="2141">
        <v>0</v>
      </c>
      <c r="E1425" s="2183" t="s">
        <v>5248</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outlineLevel="1">
      <c r="A1426" s="2171" t="str">
        <f t="shared" si="252"/>
        <v/>
      </c>
      <c r="B1426" s="2119" t="s">
        <v>5177</v>
      </c>
      <c r="C1426" s="2247"/>
      <c r="D1426" s="2141">
        <v>0</v>
      </c>
      <c r="E1426" s="2183" t="s">
        <v>5178</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outlineLevel="1">
      <c r="A1427" s="2171" t="str">
        <f t="shared" si="252"/>
        <v/>
      </c>
      <c r="B1427" s="2119" t="s">
        <v>5179</v>
      </c>
      <c r="C1427" s="2247"/>
      <c r="D1427" s="2141">
        <v>0</v>
      </c>
      <c r="E1427" s="2183" t="s">
        <v>5180</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outlineLevel="1">
      <c r="A1428" s="2171" t="str">
        <f t="shared" si="252"/>
        <v/>
      </c>
      <c r="B1428" s="2241" t="s">
        <v>1585</v>
      </c>
      <c r="C1428" s="2247"/>
      <c r="D1428" s="2141">
        <v>0</v>
      </c>
      <c r="E1428" s="2183" t="s">
        <v>5709</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outlineLevel="1">
      <c r="A1429" s="2171" t="str">
        <f t="shared" si="251"/>
        <v/>
      </c>
      <c r="B1429" s="2241" t="s">
        <v>794</v>
      </c>
      <c r="C1429" s="2408"/>
      <c r="D1429" s="2141" t="s">
        <v>5332</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outlineLevel="1">
      <c r="A1430" s="2171" t="str">
        <f t="shared" si="251"/>
        <v/>
      </c>
      <c r="B1430" s="2241" t="s">
        <v>798</v>
      </c>
      <c r="C1430" s="2247"/>
      <c r="D1430" s="2141" t="s">
        <v>5321</v>
      </c>
      <c r="E1430" s="2183" t="s">
        <v>5333</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outlineLevel="1">
      <c r="A1431" s="2171" t="str">
        <f t="shared" si="251"/>
        <v/>
      </c>
      <c r="B1431" s="2241" t="s">
        <v>902</v>
      </c>
      <c r="C1431" s="2247"/>
      <c r="D1431" s="2141" t="s">
        <v>5347</v>
      </c>
      <c r="E1431" s="2183" t="s">
        <v>5348</v>
      </c>
      <c r="F1431" s="2141" t="s">
        <v>2278</v>
      </c>
      <c r="G1431" s="2415">
        <f>G1419</f>
        <v>0</v>
      </c>
      <c r="H1431" s="2253">
        <v>0</v>
      </c>
      <c r="I1431" s="2253"/>
      <c r="J1431" s="2253" t="s">
        <v>6304</v>
      </c>
      <c r="K1431" s="2253">
        <v>0</v>
      </c>
      <c r="L1431" s="2253">
        <f>H1431*$G1431</f>
        <v>0</v>
      </c>
      <c r="M1431" s="2253">
        <f>I1431*$G1431</f>
        <v>0</v>
      </c>
      <c r="N1431" s="2253">
        <v>0</v>
      </c>
      <c r="O1431" s="2253">
        <f>K1431*$G1431</f>
        <v>0</v>
      </c>
      <c r="P1431" s="2430"/>
      <c r="Q1431" s="2255"/>
      <c r="R1431" s="2255"/>
      <c r="S1431" s="2255"/>
    </row>
    <row r="1432" spans="1:19" s="2094" customFormat="1" outlineLevel="1">
      <c r="A1432" s="2171" t="str">
        <f t="shared" si="251"/>
        <v/>
      </c>
      <c r="B1432" s="2241" t="s">
        <v>1437</v>
      </c>
      <c r="C1432" s="2247"/>
      <c r="D1432" s="2141" t="s">
        <v>5342</v>
      </c>
      <c r="E1432" s="2183" t="s">
        <v>5343</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outlineLevel="1">
      <c r="A1433" s="2171" t="str">
        <f t="shared" si="251"/>
        <v/>
      </c>
      <c r="B1433" s="2241" t="s">
        <v>5171</v>
      </c>
      <c r="C1433" s="2247"/>
      <c r="D1433" s="2141">
        <v>0</v>
      </c>
      <c r="E1433" s="2183" t="s">
        <v>5172</v>
      </c>
      <c r="F1433" s="2141" t="s">
        <v>5170</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outlineLevel="1">
      <c r="A1434" s="2171" t="str">
        <f t="shared" si="251"/>
        <v/>
      </c>
      <c r="B1434" s="2241" t="s">
        <v>5173</v>
      </c>
      <c r="C1434" s="2247"/>
      <c r="D1434" s="2141">
        <v>0</v>
      </c>
      <c r="E1434" s="2183" t="s">
        <v>5174</v>
      </c>
      <c r="F1434" s="2141" t="s">
        <v>5170</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outlineLevel="1">
      <c r="A1435" s="2171" t="str">
        <f t="shared" si="251"/>
        <v/>
      </c>
      <c r="B1435" s="2442" t="s">
        <v>5175</v>
      </c>
      <c r="C1435" s="2247"/>
      <c r="D1435" s="2141">
        <v>0</v>
      </c>
      <c r="E1435" s="2183" t="s">
        <v>5176</v>
      </c>
      <c r="F1435" s="2141" t="s">
        <v>5170</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outlineLevel="1">
      <c r="A1436" s="2171" t="str">
        <f>IF(G1436&lt;&gt;0,1,"")</f>
        <v/>
      </c>
      <c r="B1436" s="2442" t="s">
        <v>6226</v>
      </c>
      <c r="C1436" s="2247"/>
      <c r="D1436" s="2141">
        <v>0</v>
      </c>
      <c r="E1436" s="2183" t="s">
        <v>5047</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outlineLevel="1">
      <c r="A1437" s="2171" t="str">
        <f t="shared" si="251"/>
        <v/>
      </c>
      <c r="B1437" s="2241" t="s">
        <v>5177</v>
      </c>
      <c r="C1437" s="2247"/>
      <c r="D1437" s="2141">
        <v>0</v>
      </c>
      <c r="E1437" s="2183" t="s">
        <v>5178</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outlineLevel="1">
      <c r="A1438" s="2171" t="str">
        <f t="shared" si="251"/>
        <v/>
      </c>
      <c r="B1438" s="2241" t="s">
        <v>5179</v>
      </c>
      <c r="C1438" s="2247"/>
      <c r="D1438" s="2141">
        <v>0</v>
      </c>
      <c r="E1438" s="2183" t="s">
        <v>5180</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outlineLevel="1">
      <c r="A1439" s="2171">
        <f>IF(G1439=0,0,1)</f>
        <v>0</v>
      </c>
      <c r="B1439" s="2241" t="s">
        <v>794</v>
      </c>
      <c r="C1439" s="2257"/>
      <c r="D1439" s="2141" t="s">
        <v>5332</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outlineLevel="1">
      <c r="A1440" s="2171">
        <f>IF(G1440=0,0,1)</f>
        <v>0</v>
      </c>
      <c r="B1440" s="2241" t="s">
        <v>798</v>
      </c>
      <c r="C1440" s="2257"/>
      <c r="D1440" s="2141" t="s">
        <v>5321</v>
      </c>
      <c r="E1440" s="2183" t="s">
        <v>5333</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outlineLevel="1">
      <c r="A1441" s="2171">
        <f>IF(G1441=0,0,1)</f>
        <v>0</v>
      </c>
      <c r="B1441" s="2241" t="s">
        <v>902</v>
      </c>
      <c r="C1441" s="2257"/>
      <c r="D1441" s="2141" t="s">
        <v>5347</v>
      </c>
      <c r="E1441" s="2183" t="s">
        <v>5348</v>
      </c>
      <c r="F1441" s="2141" t="s">
        <v>2278</v>
      </c>
      <c r="G1441" s="2443">
        <f>G1419*0</f>
        <v>0</v>
      </c>
      <c r="H1441" s="2253">
        <v>0</v>
      </c>
      <c r="I1441" s="2253"/>
      <c r="J1441" s="2253" t="s">
        <v>6304</v>
      </c>
      <c r="K1441" s="2253">
        <v>0</v>
      </c>
      <c r="L1441" s="2253">
        <f>H1441*$G1441</f>
        <v>0</v>
      </c>
      <c r="M1441" s="2253">
        <f>I1441*$G1441</f>
        <v>0</v>
      </c>
      <c r="N1441" s="2253">
        <v>0</v>
      </c>
      <c r="O1441" s="2253">
        <f>K1441*$G1441</f>
        <v>0</v>
      </c>
      <c r="P1441" s="2430"/>
      <c r="Q1441" s="2255"/>
      <c r="R1441" s="2255"/>
      <c r="S1441" s="2255"/>
    </row>
    <row r="1442" spans="1:20" s="2094" customFormat="1" outlineLevel="1">
      <c r="A1442" s="2171" t="str">
        <f>IF(G1442&lt;&gt;0,1,"")</f>
        <v/>
      </c>
      <c r="B1442" s="2241" t="s">
        <v>1437</v>
      </c>
      <c r="C1442" s="2247"/>
      <c r="D1442" s="2141" t="s">
        <v>5342</v>
      </c>
      <c r="E1442" s="2183" t="s">
        <v>5343</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outlineLevel="1">
      <c r="A1443" s="2171" t="str">
        <f>IF(G1443&lt;&gt;0,1,"")</f>
        <v/>
      </c>
      <c r="B1443" s="2250"/>
      <c r="C1443" s="2247">
        <f>IF(G1443&gt;0,C1416+1,C1416)</f>
        <v>0</v>
      </c>
      <c r="D1443" s="2248"/>
      <c r="E1443" s="2251" t="s">
        <v>6214</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4.4" outlineLevel="1">
      <c r="A1444" s="2171" t="str">
        <f>A1443</f>
        <v/>
      </c>
      <c r="B1444" s="2250"/>
      <c r="C1444" s="2247"/>
      <c r="D1444" s="2248"/>
      <c r="E1444" s="2256" t="s">
        <v>6125</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outlineLevel="1">
      <c r="A1445" s="2171" t="str">
        <f>IF(G1445&lt;&gt;0,1,"")</f>
        <v/>
      </c>
      <c r="B1445" s="2250" t="s">
        <v>653</v>
      </c>
      <c r="C1445" s="2257"/>
      <c r="D1445" s="2141">
        <v>0</v>
      </c>
      <c r="E1445" s="2183" t="s">
        <v>5285</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outlineLevel="1">
      <c r="A1448" s="2171" t="str">
        <f>IF(G1448&lt;&gt;0,1,"")</f>
        <v/>
      </c>
      <c r="B1448" s="2250" t="s">
        <v>654</v>
      </c>
      <c r="C1448" s="2257"/>
      <c r="D1448" s="2141" t="s">
        <v>5467</v>
      </c>
      <c r="E1448" s="2183" t="s">
        <v>5470</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outlineLevel="1">
      <c r="A1449" s="2171" t="str">
        <f>IF(G1449&lt;&gt;0,1,"")</f>
        <v/>
      </c>
      <c r="B1449" s="2250"/>
      <c r="C1449" s="2247">
        <f>IF(G1449&gt;0,C1443+1,C1443)</f>
        <v>0</v>
      </c>
      <c r="D1449" s="2248"/>
      <c r="E1449" s="2365" t="s">
        <v>6201</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4.4" outlineLevel="1">
      <c r="A1450" s="2171" t="str">
        <f>A1449</f>
        <v/>
      </c>
      <c r="B1450" s="2250"/>
      <c r="C1450" s="2247"/>
      <c r="D1450" s="2248"/>
      <c r="E1450" s="2256" t="s">
        <v>6125</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outlineLevel="1">
      <c r="A1451" s="2171" t="str">
        <f>IF(G1451&lt;&gt;0,1,"")</f>
        <v/>
      </c>
      <c r="B1451" s="2250" t="s">
        <v>5641</v>
      </c>
      <c r="C1451" s="2257"/>
      <c r="D1451" s="2141" t="s">
        <v>5629</v>
      </c>
      <c r="E1451" s="2183" t="s">
        <v>5642</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outlineLevel="1">
      <c r="A1452" s="2171" t="str">
        <f>IF(G1452&lt;&gt;0,1,"")</f>
        <v/>
      </c>
      <c r="B1452" s="2250" t="s">
        <v>880</v>
      </c>
      <c r="C1452" s="2247"/>
      <c r="D1452" s="2141">
        <v>0</v>
      </c>
      <c r="E1452" s="2183" t="s">
        <v>5795</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outlineLevel="1">
      <c r="A1453" s="2171" t="str">
        <f>IF(G1453&lt;&gt;0,1,"")</f>
        <v/>
      </c>
      <c r="B1453" s="2250" t="s">
        <v>289</v>
      </c>
      <c r="C1453" s="2257"/>
      <c r="D1453" s="2141">
        <v>0</v>
      </c>
      <c r="E1453" s="2183" t="s">
        <v>5708</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outlineLevel="1">
      <c r="A1455" s="2171" t="str">
        <f>IF(G1455&lt;&gt;0,1,"")</f>
        <v/>
      </c>
      <c r="B1455" s="2250"/>
      <c r="C1455" s="2247">
        <f>IF(G1455&gt;0,C1449+1,C1449)</f>
        <v>0</v>
      </c>
      <c r="D1455" s="2248"/>
      <c r="E1455" s="2365" t="s">
        <v>6202</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4.4" outlineLevel="1">
      <c r="A1456" s="2171" t="str">
        <f>A1455</f>
        <v/>
      </c>
      <c r="B1456" s="2250"/>
      <c r="C1456" s="2247"/>
      <c r="D1456" s="2248"/>
      <c r="E1456" s="2256" t="s">
        <v>6125</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outlineLevel="1">
      <c r="A1457" s="2171" t="str">
        <f>IF(G1457&lt;&gt;0,1,"")</f>
        <v/>
      </c>
      <c r="B1457" s="2110" t="s">
        <v>838</v>
      </c>
      <c r="C1457" s="2257"/>
      <c r="D1457" s="2141" t="s">
        <v>5651</v>
      </c>
      <c r="E1457" s="2183" t="s">
        <v>5655</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outlineLevel="1">
      <c r="A1458" s="2171" t="str">
        <f>IF(G1458&lt;&gt;0,1,"")</f>
        <v/>
      </c>
      <c r="B1458" s="2250" t="s">
        <v>880</v>
      </c>
      <c r="C1458" s="2247"/>
      <c r="D1458" s="2141">
        <v>0</v>
      </c>
      <c r="E1458" s="2183" t="s">
        <v>5795</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outlineLevel="1">
      <c r="A1459" s="2171" t="str">
        <f>IF(G1459&lt;&gt;0,1,"")</f>
        <v/>
      </c>
      <c r="B1459" s="2250" t="s">
        <v>289</v>
      </c>
      <c r="C1459" s="2247"/>
      <c r="D1459" s="2141">
        <v>0</v>
      </c>
      <c r="E1459" s="2183" t="s">
        <v>5708</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4.4" outlineLevel="1">
      <c r="A1462" s="2171" t="str">
        <f>A1461</f>
        <v/>
      </c>
      <c r="B1462" s="2250"/>
      <c r="C1462" s="2247"/>
      <c r="D1462" s="2248"/>
      <c r="E1462" s="2263" t="s">
        <v>6125</v>
      </c>
      <c r="F1462" s="2247"/>
      <c r="G1462" s="2440"/>
      <c r="H1462" s="2253"/>
      <c r="I1462" s="2253"/>
      <c r="J1462" s="2253"/>
      <c r="K1462" s="2253"/>
      <c r="L1462" s="2253"/>
      <c r="M1462" s="2253"/>
      <c r="N1462" s="2253"/>
      <c r="O1462" s="2253"/>
      <c r="P1462" s="2430"/>
      <c r="Q1462" s="2255"/>
      <c r="R1462" s="2255"/>
      <c r="S1462" s="2255"/>
    </row>
    <row r="1463" spans="1:19" s="2094" customFormat="1" outlineLevel="1">
      <c r="A1463" s="2171" t="str">
        <f>IF(G1463&lt;&gt;0,1,"")</f>
        <v/>
      </c>
      <c r="B1463" s="2241" t="s">
        <v>697</v>
      </c>
      <c r="C1463" s="2257"/>
      <c r="D1463" s="2141">
        <v>0</v>
      </c>
      <c r="E1463" s="2183" t="s">
        <v>5083</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outlineLevel="1">
      <c r="A1465" s="2171" t="str">
        <f t="shared" si="268"/>
        <v/>
      </c>
      <c r="B1465" s="2346" t="s">
        <v>1477</v>
      </c>
      <c r="C1465" s="2257"/>
      <c r="D1465" s="2141">
        <v>0</v>
      </c>
      <c r="E1465" s="2183" t="s">
        <v>4333</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outlineLevel="1">
      <c r="A1466" s="2171" t="str">
        <f>IF(G1466&lt;&gt;0,1,"")</f>
        <v/>
      </c>
      <c r="B1466" s="2346" t="s">
        <v>5695</v>
      </c>
      <c r="C1466" s="2257"/>
      <c r="D1466" s="2141">
        <v>0</v>
      </c>
      <c r="E1466" s="2183" t="s">
        <v>5696</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outlineLevel="1">
      <c r="A1467" s="2171" t="str">
        <f>IF(G1467&lt;&gt;0,1,"")</f>
        <v/>
      </c>
      <c r="B1467" s="2346" t="s">
        <v>5701</v>
      </c>
      <c r="C1467" s="2257"/>
      <c r="D1467" s="2141">
        <v>0</v>
      </c>
      <c r="E1467" s="2183" t="s">
        <v>5702</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outlineLevel="1">
      <c r="A1468" s="2171" t="str">
        <f>IF(G1468&lt;&gt;0,1,"")</f>
        <v/>
      </c>
      <c r="B1468" s="2346" t="s">
        <v>5703</v>
      </c>
      <c r="C1468" s="2257"/>
      <c r="D1468" s="2141">
        <v>0</v>
      </c>
      <c r="E1468" s="2183" t="s">
        <v>5704</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outlineLevel="1">
      <c r="A1469" s="2171" t="str">
        <f>IF(G1469&lt;&gt;0,1,"")</f>
        <v/>
      </c>
      <c r="B1469" s="2346" t="s">
        <v>5700</v>
      </c>
      <c r="C1469" s="2257"/>
      <c r="D1469" s="2141">
        <v>0</v>
      </c>
      <c r="E1469" s="2183" t="s">
        <v>4536</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outlineLevel="1">
      <c r="A1472" s="2171" t="str">
        <f t="shared" si="268"/>
        <v/>
      </c>
      <c r="B1472" s="2241" t="s">
        <v>1565</v>
      </c>
      <c r="C1472" s="2257"/>
      <c r="D1472" s="2141" t="s">
        <v>5556</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outlineLevel="1">
      <c r="A1473" s="2171" t="str">
        <f t="shared" si="268"/>
        <v/>
      </c>
      <c r="B1473" s="2241" t="s">
        <v>1525</v>
      </c>
      <c r="C1473" s="2257"/>
      <c r="D1473" s="2141" t="s">
        <v>5567</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4.4" outlineLevel="1">
      <c r="A1475" s="2171" t="str">
        <f>A1474</f>
        <v/>
      </c>
      <c r="B1475" s="2250"/>
      <c r="C1475" s="2247"/>
      <c r="D1475" s="2248"/>
      <c r="E1475" s="2263" t="s">
        <v>6125</v>
      </c>
      <c r="F1475" s="2247"/>
      <c r="G1475" s="2252"/>
      <c r="H1475" s="2253"/>
      <c r="I1475" s="2253"/>
      <c r="J1475" s="2253"/>
      <c r="K1475" s="2253"/>
      <c r="L1475" s="2253"/>
      <c r="M1475" s="2253"/>
      <c r="N1475" s="2253"/>
      <c r="O1475" s="2253"/>
      <c r="P1475" s="2254"/>
      <c r="Q1475" s="2255"/>
      <c r="R1475" s="2255"/>
      <c r="S1475" s="2255"/>
    </row>
    <row r="1476" spans="1:19" s="2094" customFormat="1"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outlineLevel="1">
      <c r="A1477" s="2171" t="str">
        <f t="shared" si="269"/>
        <v/>
      </c>
      <c r="B1477" s="2250" t="s">
        <v>86</v>
      </c>
      <c r="C1477" s="2257"/>
      <c r="D1477" s="2141">
        <v>0</v>
      </c>
      <c r="E1477" s="2183" t="s">
        <v>5793</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outlineLevel="1">
      <c r="A1478" s="2171" t="str">
        <f t="shared" si="269"/>
        <v/>
      </c>
      <c r="B1478" s="2122" t="s">
        <v>276</v>
      </c>
      <c r="C1478" s="2257"/>
      <c r="D1478" s="2141">
        <v>0</v>
      </c>
      <c r="E1478" s="2183" t="s">
        <v>6347</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outlineLevel="1">
      <c r="A1479" s="2171" t="str">
        <f t="shared" si="269"/>
        <v/>
      </c>
      <c r="B1479" s="2122" t="s">
        <v>86</v>
      </c>
      <c r="C1479" s="2257"/>
      <c r="D1479" s="2141">
        <v>0</v>
      </c>
      <c r="E1479" s="2183" t="s">
        <v>5793</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4.4" outlineLevel="1">
      <c r="A1485" s="2171" t="str">
        <f>A1484</f>
        <v/>
      </c>
      <c r="B1485" s="2241"/>
      <c r="C1485" s="2247"/>
      <c r="D1485" s="2248"/>
      <c r="E1485" s="2263" t="s">
        <v>6125</v>
      </c>
      <c r="F1485" s="2247"/>
      <c r="G1485" s="2439"/>
      <c r="H1485" s="2253"/>
      <c r="I1485" s="2253"/>
      <c r="J1485" s="2253"/>
      <c r="K1485" s="2253"/>
      <c r="L1485" s="2253"/>
      <c r="M1485" s="2253"/>
      <c r="N1485" s="2253"/>
      <c r="O1485" s="2253"/>
      <c r="P1485" s="2430"/>
      <c r="Q1485" s="2255"/>
      <c r="R1485" s="2255"/>
      <c r="S1485" s="2255"/>
    </row>
    <row r="1486" spans="1:19" s="2094" customFormat="1"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outlineLevel="1">
      <c r="A1489" s="2171" t="str">
        <f t="shared" si="272"/>
        <v/>
      </c>
      <c r="B1489" s="2250" t="s">
        <v>2156</v>
      </c>
      <c r="C1489" s="2257"/>
      <c r="D1489" s="2141" t="s">
        <v>5727</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outlineLevel="1">
      <c r="A1490" s="2171" t="str">
        <f t="shared" si="272"/>
        <v/>
      </c>
      <c r="B1490" s="2250" t="s">
        <v>1305</v>
      </c>
      <c r="C1490" s="2257"/>
      <c r="D1490" s="2141" t="s">
        <v>5724</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outlineLevel="1">
      <c r="A1495" s="2171" t="str">
        <f>IF(G1495&lt;&gt;0,1,"")</f>
        <v/>
      </c>
      <c r="B1495" s="2250" t="s">
        <v>4596</v>
      </c>
      <c r="C1495" s="2257"/>
      <c r="D1495" s="2141">
        <v>0</v>
      </c>
      <c r="E1495" s="2183" t="s">
        <v>5794</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outlineLevel="1">
      <c r="A1496" s="2171" t="str">
        <f t="shared" si="272"/>
        <v/>
      </c>
      <c r="B1496" s="2241" t="s">
        <v>731</v>
      </c>
      <c r="C1496" s="2257"/>
      <c r="D1496" s="2141">
        <v>0</v>
      </c>
      <c r="E1496" s="2183" t="s">
        <v>5254</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outlineLevel="1">
      <c r="A1499" s="2171" t="str">
        <f>IF(G1499&lt;&gt;0,1,"")</f>
        <v/>
      </c>
      <c r="B1499" s="2110" t="s">
        <v>1740</v>
      </c>
      <c r="C1499" s="2257"/>
      <c r="D1499" s="2141">
        <v>0</v>
      </c>
      <c r="E1499" s="2183" t="s">
        <v>5791</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outlineLevel="1">
      <c r="A1501" s="2171" t="str">
        <f t="shared" si="272"/>
        <v/>
      </c>
      <c r="B1501" s="2241" t="s">
        <v>6</v>
      </c>
      <c r="C1501" s="2257"/>
      <c r="D1501" s="2141"/>
      <c r="E1501" s="2183" t="s">
        <v>3566</v>
      </c>
      <c r="F1501" s="2141" t="s">
        <v>5802</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outlineLevel="1">
      <c r="A1503" s="2171" t="str">
        <f t="shared" si="272"/>
        <v/>
      </c>
      <c r="B1503" s="2241" t="s">
        <v>672</v>
      </c>
      <c r="C1503" s="2257"/>
      <c r="D1503" s="2141">
        <v>0</v>
      </c>
      <c r="E1503" s="2183" t="s">
        <v>5797</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outlineLevel="1">
      <c r="A1504" s="2171" t="str">
        <f t="shared" si="272"/>
        <v/>
      </c>
      <c r="B1504" s="2241" t="s">
        <v>247</v>
      </c>
      <c r="C1504" s="2257"/>
      <c r="D1504" s="2141" t="s">
        <v>5569</v>
      </c>
      <c r="E1504" s="2183" t="s">
        <v>5570</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outlineLevel="1">
      <c r="A1505" s="2171">
        <f>A1354</f>
        <v>0</v>
      </c>
      <c r="B1505" s="2346"/>
      <c r="C1505" s="2412"/>
      <c r="D1505" s="2413"/>
      <c r="E1505" s="2388"/>
      <c r="F1505" s="2626"/>
      <c r="G1505" s="2627"/>
      <c r="H1505" s="2626"/>
      <c r="I1505" s="2626"/>
      <c r="J1505" s="2636" t="s">
        <v>6123</v>
      </c>
      <c r="K1505" s="2636"/>
      <c r="L1505" s="2414">
        <f>SUM(L1372:L1504)</f>
        <v>0</v>
      </c>
      <c r="M1505" s="2414">
        <f>SUM(M1372:M1504)</f>
        <v>0</v>
      </c>
      <c r="N1505" s="2414">
        <f>SUM(N1372:N1504)</f>
        <v>0</v>
      </c>
      <c r="O1505" s="2414">
        <f>SUM(O1372:O1504)</f>
        <v>0</v>
      </c>
      <c r="P1505" s="2435"/>
      <c r="Q1505" s="2255"/>
      <c r="R1505" s="2255"/>
      <c r="S1505" s="2255"/>
    </row>
    <row r="1506" spans="1:19" s="2094" customFormat="1" ht="13.95"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outlineLevel="1">
      <c r="A1508" s="2171">
        <f>A1506</f>
        <v>0</v>
      </c>
      <c r="B1508" s="2250" t="s">
        <v>6104</v>
      </c>
      <c r="C1508" s="2637" t="s">
        <v>1708</v>
      </c>
      <c r="D1508" s="2638" t="s">
        <v>2597</v>
      </c>
      <c r="E1508" s="2640" t="s">
        <v>2598</v>
      </c>
      <c r="F1508" s="2637" t="s">
        <v>2593</v>
      </c>
      <c r="G1508" s="2098" t="s">
        <v>6105</v>
      </c>
      <c r="H1508" s="2101" t="s">
        <v>6106</v>
      </c>
      <c r="I1508" s="2608"/>
      <c r="J1508" s="2608"/>
      <c r="K1508" s="2609"/>
      <c r="L1508" s="2101" t="s">
        <v>6107</v>
      </c>
      <c r="M1508" s="2608"/>
      <c r="N1508" s="2608"/>
      <c r="O1508" s="2609"/>
      <c r="P1508" s="2637" t="s">
        <v>2599</v>
      </c>
      <c r="Q1508" s="2255"/>
      <c r="R1508" s="2255"/>
      <c r="S1508" s="2255"/>
    </row>
    <row r="1509" spans="1:19" s="2094" customFormat="1" outlineLevel="1">
      <c r="A1509" s="2171">
        <f>A1508</f>
        <v>0</v>
      </c>
      <c r="B1509" s="2250"/>
      <c r="C1509" s="2637"/>
      <c r="D1509" s="2639"/>
      <c r="E1509" s="2641"/>
      <c r="F1509" s="2637"/>
      <c r="G1509" s="2100" t="s">
        <v>2286</v>
      </c>
      <c r="H1509" s="2101" t="s">
        <v>6108</v>
      </c>
      <c r="I1509" s="2101" t="s">
        <v>6109</v>
      </c>
      <c r="J1509" s="2101" t="s">
        <v>6110</v>
      </c>
      <c r="K1509" s="2101" t="s">
        <v>6111</v>
      </c>
      <c r="L1509" s="2101" t="s">
        <v>6108</v>
      </c>
      <c r="M1509" s="2101" t="s">
        <v>6109</v>
      </c>
      <c r="N1509" s="2101" t="s">
        <v>6110</v>
      </c>
      <c r="O1509" s="2101" t="s">
        <v>6111</v>
      </c>
      <c r="P1509" s="2637"/>
      <c r="Q1509" s="2255"/>
      <c r="R1509" s="2255"/>
      <c r="S1509" s="2255"/>
    </row>
    <row r="1510" spans="1:19" s="2094" customFormat="1"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outlineLevel="1">
      <c r="A1511" s="2171" t="str">
        <f t="shared" ref="A1511:A1518" si="277">IF(G1511&lt;&gt;0,1,"")</f>
        <v/>
      </c>
      <c r="B1511" s="2241" t="str">
        <f>IF($F$8=15,"tr320","tr3201")</f>
        <v>tr3201</v>
      </c>
      <c r="C1511" s="2257">
        <f>IF(G1511&gt;0,1,0)</f>
        <v>0</v>
      </c>
      <c r="D1511" s="2141" t="s">
        <v>5587</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outlineLevel="1">
      <c r="A1512" s="2171" t="str">
        <f t="shared" si="277"/>
        <v/>
      </c>
      <c r="B1512" s="2107" t="str">
        <f>"FCO100-"&amp;$F$8</f>
        <v>FCO100-22</v>
      </c>
      <c r="C1512" s="2257">
        <f t="shared" ref="C1512:C1518" si="282">IF(G1512&gt;0,C1511+1,C1511)</f>
        <v>0</v>
      </c>
      <c r="D1512" s="2141" t="s">
        <v>5594</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outlineLevel="1">
      <c r="A1514" s="2171" t="str">
        <f t="shared" si="277"/>
        <v/>
      </c>
      <c r="B1514" s="2250" t="str">
        <f>"LA"&amp;$F$6</f>
        <v>LA18</v>
      </c>
      <c r="C1514" s="2257">
        <f t="shared" si="282"/>
        <v>0</v>
      </c>
      <c r="D1514" s="2141" t="s">
        <v>5598</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outlineLevel="1">
      <c r="A1515" s="2171" t="str">
        <f t="shared" si="277"/>
        <v/>
      </c>
      <c r="B1515" s="2346" t="s">
        <v>1459</v>
      </c>
      <c r="C1515" s="2257">
        <f t="shared" si="282"/>
        <v>0</v>
      </c>
      <c r="D1515" s="2141">
        <v>0</v>
      </c>
      <c r="E1515" s="2183" t="s">
        <v>5683</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outlineLevel="1">
      <c r="A1519" s="2171">
        <f>A1506</f>
        <v>0</v>
      </c>
      <c r="B1519" s="2250"/>
      <c r="C1519" s="2382"/>
      <c r="D1519" s="2383"/>
      <c r="E1519" s="2384"/>
      <c r="F1519" s="2382"/>
      <c r="G1519" s="2625"/>
      <c r="H1519" s="2382"/>
      <c r="I1519" s="2382"/>
      <c r="J1519" s="2106" t="s">
        <v>6113</v>
      </c>
      <c r="K1519" s="2382"/>
      <c r="L1519" s="2384">
        <f>SUM(L1511:L1518)</f>
        <v>0</v>
      </c>
      <c r="M1519" s="2384">
        <f>SUM(M1511:M1518)</f>
        <v>0</v>
      </c>
      <c r="N1519" s="2384">
        <f>SUM(N1511:N1518)</f>
        <v>0</v>
      </c>
      <c r="O1519" s="2384">
        <f>SUM(O1511:O1518)</f>
        <v>0</v>
      </c>
      <c r="P1519" s="2385"/>
      <c r="Q1519" s="2255"/>
      <c r="R1519" s="2255"/>
      <c r="S1519" s="2255"/>
    </row>
    <row r="1520" spans="1:19" s="2094" customFormat="1"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outlineLevel="1">
      <c r="A1521" s="2171" t="str">
        <f t="shared" ref="A1521:A1539" si="283">IF(G1521&lt;&gt;0,1,"")</f>
        <v/>
      </c>
      <c r="B1521" s="2390"/>
      <c r="C1521" s="2391">
        <f>IF(G1521&gt;0,1,0)</f>
        <v>0</v>
      </c>
      <c r="D1521" s="2141"/>
      <c r="E1521" s="2392" t="s">
        <v>6114</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outlineLevel="1">
      <c r="A1525" s="2171" t="str">
        <f t="shared" si="283"/>
        <v/>
      </c>
      <c r="B1525" s="2390"/>
      <c r="C1525" s="2391">
        <f>IF(G1525&gt;0,1,0)</f>
        <v>0</v>
      </c>
      <c r="D1525" s="2141"/>
      <c r="E1525" s="2392" t="s">
        <v>6209</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outlineLevel="1">
      <c r="A1530" s="2171" t="str">
        <f t="shared" si="283"/>
        <v/>
      </c>
      <c r="B1530" s="2346" t="s">
        <v>636</v>
      </c>
      <c r="C1530" s="2396"/>
      <c r="D1530" s="2141" t="s">
        <v>5043</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outlineLevel="1">
      <c r="A1531" s="2171" t="str">
        <f t="shared" si="283"/>
        <v/>
      </c>
      <c r="B1531" s="2346" t="s">
        <v>566</v>
      </c>
      <c r="C1531" s="2396"/>
      <c r="D1531" s="2141"/>
      <c r="E1531" s="2397" t="s">
        <v>5068</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outlineLevel="1">
      <c r="A1532" s="2171" t="str">
        <f t="shared" si="283"/>
        <v/>
      </c>
      <c r="B1532" s="2346" t="s">
        <v>639</v>
      </c>
      <c r="C1532" s="2396"/>
      <c r="D1532" s="2141" t="s">
        <v>1747</v>
      </c>
      <c r="E1532" s="2397" t="s">
        <v>5320</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outlineLevel="1">
      <c r="A1533" s="2171" t="str">
        <f t="shared" si="283"/>
        <v/>
      </c>
      <c r="B1533" s="2346" t="s">
        <v>21</v>
      </c>
      <c r="C1533" s="2396"/>
      <c r="D1533" s="2141" t="s">
        <v>5321</v>
      </c>
      <c r="E1533" s="2397" t="s">
        <v>5322</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outlineLevel="1">
      <c r="A1535" s="2171" t="str">
        <f t="shared" si="283"/>
        <v/>
      </c>
      <c r="B1535" s="2346" t="s">
        <v>636</v>
      </c>
      <c r="C1535" s="2396"/>
      <c r="D1535" s="2141" t="s">
        <v>5043</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outlineLevel="1">
      <c r="A1536" s="2171" t="str">
        <f t="shared" si="283"/>
        <v/>
      </c>
      <c r="B1536" s="2346" t="s">
        <v>566</v>
      </c>
      <c r="C1536" s="2396"/>
      <c r="D1536" s="2141"/>
      <c r="E1536" s="2397" t="s">
        <v>5068</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outlineLevel="1">
      <c r="A1537" s="2171" t="str">
        <f t="shared" si="283"/>
        <v/>
      </c>
      <c r="B1537" s="2346" t="s">
        <v>639</v>
      </c>
      <c r="C1537" s="2396"/>
      <c r="D1537" s="2141" t="s">
        <v>1747</v>
      </c>
      <c r="E1537" s="2397" t="s">
        <v>5320</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outlineLevel="1">
      <c r="A1538" s="2171" t="str">
        <f t="shared" si="283"/>
        <v/>
      </c>
      <c r="B1538" s="2346" t="s">
        <v>21</v>
      </c>
      <c r="C1538" s="2396"/>
      <c r="D1538" s="2141" t="s">
        <v>5321</v>
      </c>
      <c r="E1538" s="2397" t="s">
        <v>5322</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4.4" outlineLevel="1">
      <c r="A1540" s="2171" t="str">
        <f>A1539</f>
        <v/>
      </c>
      <c r="B1540" s="2250"/>
      <c r="C1540" s="2247"/>
      <c r="D1540" s="2403"/>
      <c r="E1540" s="2256" t="s">
        <v>6125</v>
      </c>
      <c r="F1540" s="2257"/>
      <c r="G1540" s="2258"/>
      <c r="H1540" s="2404"/>
      <c r="I1540" s="2404"/>
      <c r="J1540" s="2404"/>
      <c r="K1540" s="2404"/>
      <c r="L1540" s="2404"/>
      <c r="M1540" s="2404"/>
      <c r="N1540" s="2404"/>
      <c r="O1540" s="2404"/>
      <c r="P1540" s="2254"/>
      <c r="Q1540" s="2255"/>
      <c r="R1540" s="2255"/>
      <c r="S1540" s="2255"/>
    </row>
    <row r="1541" spans="1:19" s="2094" customFormat="1" outlineLevel="1">
      <c r="A1541" s="2171" t="str">
        <f t="shared" ref="A1541:A1546" si="284">IF(G1541&lt;&gt;0,1,"")</f>
        <v/>
      </c>
      <c r="B1541" s="2241" t="s">
        <v>1136</v>
      </c>
      <c r="C1541" s="2247"/>
      <c r="D1541" s="2141">
        <v>0</v>
      </c>
      <c r="E1541" s="2183" t="s">
        <v>6330</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outlineLevel="1">
      <c r="A1542" s="2171" t="str">
        <f t="shared" si="284"/>
        <v/>
      </c>
      <c r="B1542" s="2241" t="s">
        <v>1137</v>
      </c>
      <c r="C1542" s="2247"/>
      <c r="D1542" s="2141">
        <v>0</v>
      </c>
      <c r="E1542" s="2183" t="s">
        <v>6331</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outlineLevel="1">
      <c r="A1543" s="2171" t="str">
        <f t="shared" si="284"/>
        <v/>
      </c>
      <c r="B1543" s="2241" t="s">
        <v>1138</v>
      </c>
      <c r="C1543" s="2247"/>
      <c r="D1543" s="2141">
        <v>0</v>
      </c>
      <c r="E1543" s="2183" t="s">
        <v>6332</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outlineLevel="1">
      <c r="A1547" s="2171" t="str">
        <f>IF(G1547&lt;&gt;0,1,"")</f>
        <v/>
      </c>
      <c r="B1547" s="2241" t="s">
        <v>2242</v>
      </c>
      <c r="C1547" s="2247"/>
      <c r="D1547" s="2141" t="s">
        <v>5440</v>
      </c>
      <c r="E1547" s="2183" t="s">
        <v>6333</v>
      </c>
      <c r="F1547" s="2141" t="s">
        <v>2439</v>
      </c>
      <c r="G1547" s="2258">
        <f>+G1539*1</f>
        <v>0</v>
      </c>
      <c r="H1547" s="2348">
        <v>0</v>
      </c>
      <c r="I1547" s="2405"/>
      <c r="J1547" s="2348" t="s">
        <v>6334</v>
      </c>
      <c r="K1547" s="2348">
        <v>0</v>
      </c>
      <c r="L1547" s="2349">
        <f>H1547*G1547</f>
        <v>0</v>
      </c>
      <c r="M1547" s="2349">
        <f t="shared" si="286"/>
        <v>0</v>
      </c>
      <c r="N1547" s="2348">
        <v>0</v>
      </c>
      <c r="O1547" s="2349">
        <f t="shared" si="287"/>
        <v>0</v>
      </c>
      <c r="P1547" s="2254"/>
      <c r="Q1547" s="2255"/>
      <c r="R1547" s="2255"/>
      <c r="S1547" s="2255"/>
    </row>
    <row r="1548" spans="1:19" s="2094" customFormat="1" outlineLevel="1">
      <c r="A1548" s="2171" t="str">
        <f>IF(G1548&lt;&gt;0,1,"")</f>
        <v/>
      </c>
      <c r="B1548" s="2241" t="s">
        <v>6210</v>
      </c>
      <c r="C1548" s="2247"/>
      <c r="D1548" s="2141" t="s">
        <v>5374</v>
      </c>
      <c r="E1548" s="2183" t="s">
        <v>6335</v>
      </c>
      <c r="F1548" s="2141" t="s">
        <v>2439</v>
      </c>
      <c r="G1548" s="2258">
        <f>+G1539*(IF(G1542&gt;0,2,0)+IF(G1543&gt;0,1,0))</f>
        <v>0</v>
      </c>
      <c r="H1548" s="2348">
        <v>0</v>
      </c>
      <c r="I1548" s="2405"/>
      <c r="J1548" s="2348" t="s">
        <v>6336</v>
      </c>
      <c r="K1548" s="2348">
        <v>0</v>
      </c>
      <c r="L1548" s="2349">
        <f>H1548*G1548</f>
        <v>0</v>
      </c>
      <c r="M1548" s="2349">
        <f t="shared" si="286"/>
        <v>0</v>
      </c>
      <c r="N1548" s="2348">
        <v>0</v>
      </c>
      <c r="O1548" s="2349">
        <f t="shared" si="287"/>
        <v>0</v>
      </c>
      <c r="P1548" s="2254"/>
      <c r="Q1548" s="2255"/>
      <c r="R1548" s="2255"/>
      <c r="S1548" s="2255"/>
    </row>
    <row r="1549" spans="1:19" s="2094" customFormat="1" outlineLevel="1">
      <c r="A1549" s="2171" t="str">
        <f>IF(G1549&lt;&gt;0,1,"")</f>
        <v/>
      </c>
      <c r="B1549" s="2250"/>
      <c r="C1549" s="2247">
        <f>IF(G1549&gt;0,C1535+1,C1535)</f>
        <v>0</v>
      </c>
      <c r="D1549" s="2248"/>
      <c r="E1549" s="2406" t="s">
        <v>6211</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4.4" outlineLevel="1">
      <c r="A1550" s="2171" t="str">
        <f>A1549</f>
        <v/>
      </c>
      <c r="B1550" s="2250"/>
      <c r="C1550" s="2247"/>
      <c r="D1550" s="2248"/>
      <c r="E1550" s="2256" t="s">
        <v>6125</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outlineLevel="1">
      <c r="A1551" s="2171" t="str">
        <f>IF(G1551&lt;&gt;0,1,"")</f>
        <v/>
      </c>
      <c r="B1551" s="2122" t="s">
        <v>5151</v>
      </c>
      <c r="C1551" s="2247"/>
      <c r="D1551" s="2141">
        <v>0</v>
      </c>
      <c r="E1551" s="2183" t="s">
        <v>5152</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outlineLevel="1">
      <c r="A1552" s="2171" t="str">
        <f>IF(G1552&lt;&gt;0,1,"")</f>
        <v/>
      </c>
      <c r="B1552" s="2119" t="s">
        <v>488</v>
      </c>
      <c r="C1552" s="2247"/>
      <c r="D1552" s="2141">
        <v>0</v>
      </c>
      <c r="E1552" s="2183" t="s">
        <v>5074</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outlineLevel="1">
      <c r="A1554" s="2171" t="str">
        <f>IF(G1554&lt;&gt;0,1,"")</f>
        <v/>
      </c>
      <c r="B1554" s="2241" t="s">
        <v>2242</v>
      </c>
      <c r="C1554" s="2247"/>
      <c r="D1554" s="2141" t="s">
        <v>5440</v>
      </c>
      <c r="E1554" s="2183" t="s">
        <v>2440</v>
      </c>
      <c r="F1554" s="2141" t="s">
        <v>2439</v>
      </c>
      <c r="G1554" s="2258">
        <f>+G1549</f>
        <v>0</v>
      </c>
      <c r="H1554" s="2253">
        <v>0</v>
      </c>
      <c r="I1554" s="2348"/>
      <c r="J1554" s="2348" t="s">
        <v>6337</v>
      </c>
      <c r="K1554" s="2348"/>
      <c r="L1554" s="2349">
        <f t="shared" si="288"/>
        <v>0</v>
      </c>
      <c r="M1554" s="2349"/>
      <c r="N1554" s="2348">
        <v>0</v>
      </c>
      <c r="O1554" s="2349"/>
      <c r="P1554" s="2254"/>
      <c r="Q1554" s="2255"/>
      <c r="R1554" s="2255"/>
      <c r="S1554" s="2255"/>
    </row>
    <row r="1555" spans="1:19" s="2094" customFormat="1" outlineLevel="1">
      <c r="A1555" s="2171" t="str">
        <f>IF(G1555&lt;&gt;0,1,"")</f>
        <v/>
      </c>
      <c r="B1555" s="2250"/>
      <c r="C1555" s="2247">
        <f>IF(G1555&gt;0,C1539+1,C1539)</f>
        <v>0</v>
      </c>
      <c r="D1555" s="2248"/>
      <c r="E1555" s="2406" t="s">
        <v>6212</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4.4" outlineLevel="1">
      <c r="A1556" s="2171" t="str">
        <f>A1555</f>
        <v/>
      </c>
      <c r="B1556" s="2250"/>
      <c r="C1556" s="2247"/>
      <c r="D1556" s="2248"/>
      <c r="E1556" s="2256" t="s">
        <v>6125</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outlineLevel="1">
      <c r="A1559" s="2171" t="str">
        <f>IF(G1559&lt;&gt;0,1,"")</f>
        <v/>
      </c>
      <c r="B1559" s="2250" t="s">
        <v>2242</v>
      </c>
      <c r="C1559" s="2247"/>
      <c r="D1559" s="2141" t="s">
        <v>5440</v>
      </c>
      <c r="E1559" s="2183" t="s">
        <v>2440</v>
      </c>
      <c r="F1559" s="2141" t="s">
        <v>2439</v>
      </c>
      <c r="G1559" s="2258">
        <f>G1511</f>
        <v>0</v>
      </c>
      <c r="H1559" s="2253">
        <v>0</v>
      </c>
      <c r="I1559" s="2348"/>
      <c r="J1559" s="2348" t="s">
        <v>6337</v>
      </c>
      <c r="K1559" s="2348"/>
      <c r="L1559" s="2349">
        <f t="shared" si="288"/>
        <v>0</v>
      </c>
      <c r="M1559" s="2349"/>
      <c r="N1559" s="2348">
        <v>0</v>
      </c>
      <c r="O1559" s="2349"/>
      <c r="P1559" s="2254"/>
      <c r="Q1559" s="2255"/>
      <c r="R1559" s="2255"/>
      <c r="S1559" s="2255"/>
    </row>
    <row r="1560" spans="1:19" s="2094" customFormat="1" outlineLevel="1">
      <c r="A1560" s="2171" t="str">
        <f>IF(G1560&lt;&gt;0,1,"")</f>
        <v/>
      </c>
      <c r="B1560" s="2250"/>
      <c r="C1560" s="2247">
        <f>IF(G1560&gt;0,C1555+1,C1555)</f>
        <v>0</v>
      </c>
      <c r="D1560" s="2248"/>
      <c r="E1560" s="2406" t="s">
        <v>6213</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4.4" outlineLevel="1">
      <c r="A1561" s="2171" t="str">
        <f>A1560</f>
        <v/>
      </c>
      <c r="B1561" s="2250"/>
      <c r="C1561" s="2247"/>
      <c r="D1561" s="2248"/>
      <c r="E1561" s="2256" t="s">
        <v>6125</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outlineLevel="1">
      <c r="A1565" s="2171" t="str">
        <f>IF(G1565&lt;&gt;0,1,"")</f>
        <v/>
      </c>
      <c r="B1565" s="2250" t="s">
        <v>2242</v>
      </c>
      <c r="C1565" s="2247"/>
      <c r="D1565" s="2141" t="s">
        <v>5440</v>
      </c>
      <c r="E1565" s="2183" t="s">
        <v>2440</v>
      </c>
      <c r="F1565" s="2141" t="s">
        <v>2439</v>
      </c>
      <c r="G1565" s="2258">
        <f>G1560/2</f>
        <v>0</v>
      </c>
      <c r="H1565" s="2253">
        <v>0</v>
      </c>
      <c r="I1565" s="2348"/>
      <c r="J1565" s="2348" t="s">
        <v>6337</v>
      </c>
      <c r="K1565" s="2348"/>
      <c r="L1565" s="2349">
        <f t="shared" si="288"/>
        <v>0</v>
      </c>
      <c r="M1565" s="2349"/>
      <c r="N1565" s="2348">
        <v>0</v>
      </c>
      <c r="O1565" s="2349"/>
      <c r="P1565" s="2254"/>
      <c r="Q1565" s="2255"/>
      <c r="R1565" s="2255"/>
      <c r="S1565" s="2255"/>
    </row>
    <row r="1566" spans="1:19" s="2094" customFormat="1"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4.4" outlineLevel="1">
      <c r="A1567" s="2171" t="str">
        <f>+A1566</f>
        <v/>
      </c>
      <c r="B1567" s="2407"/>
      <c r="C1567" s="2247"/>
      <c r="D1567" s="2248"/>
      <c r="E1567" s="2256" t="s">
        <v>6125</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outlineLevel="1">
      <c r="A1569" s="2171" t="str">
        <f t="shared" si="290"/>
        <v/>
      </c>
      <c r="B1569" s="2241" t="s">
        <v>1508</v>
      </c>
      <c r="C1569" s="2247"/>
      <c r="D1569" s="2141">
        <v>0</v>
      </c>
      <c r="E1569" s="2183" t="s">
        <v>5159</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outlineLevel="1">
      <c r="A1573" s="2171" t="str">
        <f t="shared" si="290"/>
        <v/>
      </c>
      <c r="B1573" s="2241" t="s">
        <v>525</v>
      </c>
      <c r="C1573" s="2247"/>
      <c r="D1573" s="2141">
        <v>0</v>
      </c>
      <c r="E1573" s="2183" t="s">
        <v>5248</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outlineLevel="1">
      <c r="A1574" s="2171" t="str">
        <f t="shared" si="290"/>
        <v/>
      </c>
      <c r="B1574" s="2241" t="s">
        <v>1585</v>
      </c>
      <c r="C1574" s="2247"/>
      <c r="D1574" s="2141">
        <v>0</v>
      </c>
      <c r="E1574" s="2183" t="s">
        <v>5709</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outlineLevel="1">
      <c r="A1575" s="2171">
        <f>IF(G1575=0,0,1)</f>
        <v>0</v>
      </c>
      <c r="B1575" s="2241" t="s">
        <v>794</v>
      </c>
      <c r="C1575" s="2257"/>
      <c r="D1575" s="2141" t="s">
        <v>5332</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outlineLevel="1">
      <c r="A1576" s="2171">
        <f>IF(G1576=0,0,1)</f>
        <v>0</v>
      </c>
      <c r="B1576" s="2241" t="s">
        <v>798</v>
      </c>
      <c r="C1576" s="2257"/>
      <c r="D1576" s="2141" t="s">
        <v>5321</v>
      </c>
      <c r="E1576" s="2183" t="s">
        <v>5333</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outlineLevel="1">
      <c r="A1577" s="2171">
        <f>IF(G1577=0,0,1)</f>
        <v>0</v>
      </c>
      <c r="B1577" s="2241" t="s">
        <v>902</v>
      </c>
      <c r="C1577" s="2257"/>
      <c r="D1577" s="2141" t="s">
        <v>5347</v>
      </c>
      <c r="E1577" s="2183" t="s">
        <v>5348</v>
      </c>
      <c r="F1577" s="2141" t="s">
        <v>2278</v>
      </c>
      <c r="G1577" s="2378">
        <f>G1569</f>
        <v>0</v>
      </c>
      <c r="H1577" s="2253">
        <v>0</v>
      </c>
      <c r="I1577" s="2253"/>
      <c r="J1577" s="2253" t="s">
        <v>6304</v>
      </c>
      <c r="K1577" s="2253">
        <v>0</v>
      </c>
      <c r="L1577" s="2253">
        <f>H1577*$G1577</f>
        <v>0</v>
      </c>
      <c r="M1577" s="2253">
        <f>I1577*$G1577</f>
        <v>0</v>
      </c>
      <c r="N1577" s="2253">
        <v>0</v>
      </c>
      <c r="O1577" s="2253">
        <f>K1577*$G1577</f>
        <v>0</v>
      </c>
      <c r="P1577" s="2378"/>
      <c r="Q1577" s="2255"/>
      <c r="R1577" s="2255"/>
      <c r="S1577" s="2255"/>
    </row>
    <row r="1578" spans="1:20" s="2094" customFormat="1" outlineLevel="1">
      <c r="A1578" s="2171" t="str">
        <f>IF(G1578&lt;&gt;0,1,"")</f>
        <v/>
      </c>
      <c r="B1578" s="2241" t="s">
        <v>1437</v>
      </c>
      <c r="C1578" s="2247"/>
      <c r="D1578" s="2141" t="s">
        <v>5342</v>
      </c>
      <c r="E1578" s="2183" t="s">
        <v>5343</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outlineLevel="1">
      <c r="A1579" s="2171" t="str">
        <f>IF(G1579&lt;&gt;0,1,"")</f>
        <v/>
      </c>
      <c r="B1579" s="2250"/>
      <c r="C1579" s="2247">
        <f>IF(G1579&gt;0,C1566+1,C1566)</f>
        <v>0</v>
      </c>
      <c r="D1579" s="2248"/>
      <c r="E1579" s="2251" t="s">
        <v>6214</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4.4" outlineLevel="1">
      <c r="A1580" s="2171" t="str">
        <f>A1579</f>
        <v/>
      </c>
      <c r="B1580" s="2250"/>
      <c r="C1580" s="2247"/>
      <c r="D1580" s="2248"/>
      <c r="E1580" s="2256" t="s">
        <v>6125</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outlineLevel="1">
      <c r="A1581" s="2171" t="str">
        <f>IF(G1581&lt;&gt;0,1,"")</f>
        <v/>
      </c>
      <c r="B1581" s="2250" t="s">
        <v>653</v>
      </c>
      <c r="C1581" s="2257"/>
      <c r="D1581" s="2141">
        <v>0</v>
      </c>
      <c r="E1581" s="2183" t="s">
        <v>5285</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outlineLevel="1">
      <c r="A1584" s="2171" t="str">
        <f>IF(G1584&lt;&gt;0,1,"")</f>
        <v/>
      </c>
      <c r="B1584" s="2250" t="s">
        <v>654</v>
      </c>
      <c r="C1584" s="2257"/>
      <c r="D1584" s="2141" t="s">
        <v>5467</v>
      </c>
      <c r="E1584" s="2183" t="s">
        <v>5470</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outlineLevel="1">
      <c r="A1585" s="2171" t="str">
        <f>IF(G1585&lt;&gt;0,1,"")</f>
        <v/>
      </c>
      <c r="B1585" s="2250"/>
      <c r="C1585" s="2247">
        <f>IF(G1585&gt;0,C1579+1,C1579)</f>
        <v>0</v>
      </c>
      <c r="D1585" s="2248"/>
      <c r="E1585" s="2365" t="s">
        <v>6201</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4.4" outlineLevel="1">
      <c r="A1586" s="2171" t="str">
        <f>A1585</f>
        <v/>
      </c>
      <c r="B1586" s="2250"/>
      <c r="C1586" s="2247"/>
      <c r="D1586" s="2248"/>
      <c r="E1586" s="2256" t="s">
        <v>6125</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outlineLevel="1">
      <c r="A1587" s="2171" t="str">
        <f>IF(G1587&lt;&gt;0,1,"")</f>
        <v/>
      </c>
      <c r="B1587" s="2250" t="s">
        <v>5641</v>
      </c>
      <c r="C1587" s="2257"/>
      <c r="D1587" s="2141" t="s">
        <v>5629</v>
      </c>
      <c r="E1587" s="2183" t="s">
        <v>6348</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outlineLevel="1">
      <c r="A1588" s="2171" t="str">
        <f>IF(G1588&lt;&gt;0,1,"")</f>
        <v/>
      </c>
      <c r="B1588" s="2250" t="s">
        <v>880</v>
      </c>
      <c r="C1588" s="2247"/>
      <c r="D1588" s="2141">
        <v>0</v>
      </c>
      <c r="E1588" s="2183" t="s">
        <v>5795</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outlineLevel="1">
      <c r="A1589" s="2171" t="str">
        <f>IF(G1589&lt;&gt;0,1,"")</f>
        <v/>
      </c>
      <c r="B1589" s="2250" t="s">
        <v>289</v>
      </c>
      <c r="C1589" s="2257"/>
      <c r="D1589" s="2141">
        <v>0</v>
      </c>
      <c r="E1589" s="2183" t="s">
        <v>5708</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outlineLevel="1">
      <c r="A1590" s="2171" t="str">
        <f>IF(G1590&lt;&gt;0,1,"")</f>
        <v/>
      </c>
      <c r="B1590" s="2250"/>
      <c r="C1590" s="2247">
        <f>IF(G1590&gt;0,C1585+1,C1585)</f>
        <v>0</v>
      </c>
      <c r="D1590" s="2248"/>
      <c r="E1590" s="2249" t="s">
        <v>6155</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4.4" outlineLevel="1">
      <c r="A1591" s="2171" t="str">
        <f>A1590</f>
        <v/>
      </c>
      <c r="B1591" s="2250"/>
      <c r="C1591" s="2247"/>
      <c r="D1591" s="2248"/>
      <c r="E1591" s="2263" t="s">
        <v>6125</v>
      </c>
      <c r="F1591" s="2247"/>
      <c r="G1591" s="2252"/>
      <c r="H1591" s="2253"/>
      <c r="I1591" s="2253"/>
      <c r="J1591" s="2253"/>
      <c r="K1591" s="2253"/>
      <c r="L1591" s="2253"/>
      <c r="M1591" s="2253"/>
      <c r="N1591" s="2253"/>
      <c r="O1591" s="2253"/>
      <c r="P1591" s="2378"/>
      <c r="Q1591" s="2255"/>
      <c r="R1591" s="2255"/>
      <c r="S1591" s="2255"/>
    </row>
    <row r="1592" spans="1:19" s="2094" customFormat="1" outlineLevel="1">
      <c r="A1592" s="2171" t="str">
        <f>IF(G1592&lt;&gt;0,1,"")</f>
        <v/>
      </c>
      <c r="B1592" s="2241" t="s">
        <v>697</v>
      </c>
      <c r="C1592" s="2257"/>
      <c r="D1592" s="2141">
        <v>0</v>
      </c>
      <c r="E1592" s="2183" t="s">
        <v>5083</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outlineLevel="1">
      <c r="A1594" s="2171" t="str">
        <f t="shared" si="299"/>
        <v/>
      </c>
      <c r="B1594" s="2346" t="s">
        <v>1477</v>
      </c>
      <c r="C1594" s="2257"/>
      <c r="D1594" s="2141">
        <v>0</v>
      </c>
      <c r="E1594" s="2183" t="s">
        <v>4333</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outlineLevel="1">
      <c r="A1595" s="2171" t="str">
        <f>IF(G1595&lt;&gt;0,1,"")</f>
        <v/>
      </c>
      <c r="B1595" s="2346" t="s">
        <v>5695</v>
      </c>
      <c r="C1595" s="2257"/>
      <c r="D1595" s="2141">
        <v>0</v>
      </c>
      <c r="E1595" s="2183" t="s">
        <v>5696</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outlineLevel="1">
      <c r="A1596" s="2171" t="str">
        <f>IF(G1596&lt;&gt;0,1,"")</f>
        <v/>
      </c>
      <c r="B1596" s="2346" t="s">
        <v>5701</v>
      </c>
      <c r="C1596" s="2257"/>
      <c r="D1596" s="2141">
        <v>0</v>
      </c>
      <c r="E1596" s="2183" t="s">
        <v>5702</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outlineLevel="1">
      <c r="A1597" s="2171" t="str">
        <f>IF(G1597&lt;&gt;0,1,"")</f>
        <v/>
      </c>
      <c r="B1597" s="2346" t="s">
        <v>5703</v>
      </c>
      <c r="C1597" s="2257"/>
      <c r="D1597" s="2141">
        <v>0</v>
      </c>
      <c r="E1597" s="2183" t="s">
        <v>5704</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outlineLevel="1">
      <c r="A1600" s="2171" t="str">
        <f t="shared" si="299"/>
        <v/>
      </c>
      <c r="B1600" s="2241" t="s">
        <v>1565</v>
      </c>
      <c r="C1600" s="2257"/>
      <c r="D1600" s="2141" t="s">
        <v>5556</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outlineLevel="1">
      <c r="A1601" s="2171" t="str">
        <f t="shared" si="299"/>
        <v/>
      </c>
      <c r="B1601" s="2241" t="s">
        <v>1525</v>
      </c>
      <c r="C1601" s="2257"/>
      <c r="D1601" s="2141" t="s">
        <v>5567</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4.4" outlineLevel="1">
      <c r="A1603" s="2171" t="str">
        <f>A1602</f>
        <v/>
      </c>
      <c r="B1603" s="2250"/>
      <c r="C1603" s="2247"/>
      <c r="D1603" s="2248"/>
      <c r="E1603" s="2263" t="s">
        <v>6125</v>
      </c>
      <c r="F1603" s="2247"/>
      <c r="G1603" s="2252"/>
      <c r="H1603" s="2253"/>
      <c r="I1603" s="2253"/>
      <c r="J1603" s="2253"/>
      <c r="K1603" s="2253"/>
      <c r="L1603" s="2253"/>
      <c r="M1603" s="2253"/>
      <c r="N1603" s="2253"/>
      <c r="O1603" s="2253"/>
      <c r="P1603" s="2254"/>
      <c r="Q1603" s="2255"/>
      <c r="R1603" s="2255"/>
      <c r="S1603" s="2255"/>
    </row>
    <row r="1604" spans="1:19" s="2094" customFormat="1"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outlineLevel="1">
      <c r="A1605" s="2171" t="str">
        <f>IF(G1605&lt;&gt;0,1,"")</f>
        <v/>
      </c>
      <c r="B1605" s="2250" t="s">
        <v>86</v>
      </c>
      <c r="C1605" s="2257"/>
      <c r="D1605" s="2141">
        <v>0</v>
      </c>
      <c r="E1605" s="2183" t="s">
        <v>5793</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4.4" outlineLevel="1">
      <c r="A1609" s="2171" t="str">
        <f>A1608</f>
        <v/>
      </c>
      <c r="B1609" s="2241"/>
      <c r="C1609" s="2247"/>
      <c r="D1609" s="2248"/>
      <c r="E1609" s="2263" t="s">
        <v>6125</v>
      </c>
      <c r="F1609" s="2247"/>
      <c r="G1609" s="2258"/>
      <c r="H1609" s="2253"/>
      <c r="I1609" s="2253"/>
      <c r="J1609" s="2253"/>
      <c r="K1609" s="2253"/>
      <c r="L1609" s="2253"/>
      <c r="M1609" s="2253"/>
      <c r="N1609" s="2253"/>
      <c r="O1609" s="2253"/>
      <c r="P1609" s="2378"/>
      <c r="Q1609" s="2255"/>
      <c r="R1609" s="2255"/>
      <c r="S1609" s="2255"/>
    </row>
    <row r="1610" spans="1:19" s="2094" customFormat="1"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outlineLevel="1">
      <c r="A1613" s="2171" t="str">
        <f t="shared" si="301"/>
        <v/>
      </c>
      <c r="B1613" s="2250" t="s">
        <v>449</v>
      </c>
      <c r="C1613" s="2257"/>
      <c r="D1613" s="2141" t="s">
        <v>5728</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outlineLevel="1">
      <c r="A1614" s="2171" t="str">
        <f t="shared" si="301"/>
        <v/>
      </c>
      <c r="B1614" s="2250" t="s">
        <v>2155</v>
      </c>
      <c r="C1614" s="2257"/>
      <c r="D1614" s="2141" t="s">
        <v>5725</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outlineLevel="1">
      <c r="A1618" s="2171" t="str">
        <f t="shared" si="301"/>
        <v/>
      </c>
      <c r="B1618" s="2241" t="s">
        <v>731</v>
      </c>
      <c r="C1618" s="2257"/>
      <c r="D1618" s="2141">
        <v>0</v>
      </c>
      <c r="E1618" s="2183" t="s">
        <v>5254</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outlineLevel="1">
      <c r="A1622" s="2171" t="str">
        <f t="shared" si="301"/>
        <v/>
      </c>
      <c r="B1622" s="2241" t="s">
        <v>6</v>
      </c>
      <c r="C1622" s="2257"/>
      <c r="D1622" s="2141"/>
      <c r="E1622" s="2183" t="s">
        <v>3566</v>
      </c>
      <c r="F1622" s="2141" t="s">
        <v>5802</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outlineLevel="1">
      <c r="A1624" s="2171" t="str">
        <f t="shared" si="301"/>
        <v/>
      </c>
      <c r="B1624" s="2241" t="s">
        <v>672</v>
      </c>
      <c r="C1624" s="2257"/>
      <c r="D1624" s="2141">
        <v>0</v>
      </c>
      <c r="E1624" s="2183" t="s">
        <v>6349</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outlineLevel="1">
      <c r="A1625" s="2171" t="str">
        <f t="shared" si="301"/>
        <v/>
      </c>
      <c r="B1625" s="2241" t="s">
        <v>247</v>
      </c>
      <c r="C1625" s="2257"/>
      <c r="D1625" s="2141" t="s">
        <v>5569</v>
      </c>
      <c r="E1625" s="2183" t="s">
        <v>5570</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outlineLevel="1">
      <c r="A1626" s="2171">
        <f>A1506</f>
        <v>0</v>
      </c>
      <c r="B1626" s="2346"/>
      <c r="C1626" s="2412"/>
      <c r="D1626" s="2413"/>
      <c r="E1626" s="2388"/>
      <c r="F1626" s="2626"/>
      <c r="G1626" s="2627"/>
      <c r="H1626" s="2626"/>
      <c r="I1626" s="2626"/>
      <c r="J1626" s="2636" t="s">
        <v>6123</v>
      </c>
      <c r="K1626" s="2636"/>
      <c r="L1626" s="2414">
        <f>SUM(L1521:L1625)</f>
        <v>0</v>
      </c>
      <c r="M1626" s="2414">
        <f>SUM(M1522:M1625)</f>
        <v>0</v>
      </c>
      <c r="N1626" s="2414">
        <f>SUM(N1522:N1625)</f>
        <v>0</v>
      </c>
      <c r="O1626" s="2414">
        <f>SUM(O1522:O1625)</f>
        <v>0</v>
      </c>
      <c r="P1626" s="2385"/>
      <c r="Q1626" s="2255"/>
      <c r="R1626" s="2255"/>
      <c r="S1626" s="2255"/>
    </row>
    <row r="1627" spans="1:19" s="2094" customFormat="1" ht="13.95"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outlineLevel="1">
      <c r="A1629" s="2171">
        <f>A1627</f>
        <v>0</v>
      </c>
      <c r="B1629" s="2250" t="s">
        <v>6104</v>
      </c>
      <c r="C1629" s="2637" t="s">
        <v>1708</v>
      </c>
      <c r="D1629" s="2638" t="s">
        <v>2597</v>
      </c>
      <c r="E1629" s="2640" t="s">
        <v>2598</v>
      </c>
      <c r="F1629" s="2637" t="s">
        <v>2593</v>
      </c>
      <c r="G1629" s="2098" t="s">
        <v>6105</v>
      </c>
      <c r="H1629" s="2101" t="s">
        <v>6106</v>
      </c>
      <c r="I1629" s="2608"/>
      <c r="J1629" s="2608"/>
      <c r="K1629" s="2609"/>
      <c r="L1629" s="2101" t="s">
        <v>6107</v>
      </c>
      <c r="M1629" s="2608"/>
      <c r="N1629" s="2608"/>
      <c r="O1629" s="2609"/>
      <c r="P1629" s="2522" t="s">
        <v>2599</v>
      </c>
      <c r="Q1629" s="2255"/>
      <c r="R1629" s="2255"/>
      <c r="S1629" s="2255"/>
    </row>
    <row r="1630" spans="1:19" s="2094" customFormat="1" outlineLevel="1">
      <c r="A1630" s="2171">
        <f>A1629</f>
        <v>0</v>
      </c>
      <c r="B1630" s="2250"/>
      <c r="C1630" s="2637"/>
      <c r="D1630" s="2639"/>
      <c r="E1630" s="2641"/>
      <c r="F1630" s="2637"/>
      <c r="G1630" s="2100" t="s">
        <v>2286</v>
      </c>
      <c r="H1630" s="2101" t="s">
        <v>6108</v>
      </c>
      <c r="I1630" s="2101" t="s">
        <v>6109</v>
      </c>
      <c r="J1630" s="2101" t="s">
        <v>6110</v>
      </c>
      <c r="K1630" s="2101" t="s">
        <v>6111</v>
      </c>
      <c r="L1630" s="2101" t="s">
        <v>6108</v>
      </c>
      <c r="M1630" s="2101" t="s">
        <v>6109</v>
      </c>
      <c r="N1630" s="2101" t="s">
        <v>6110</v>
      </c>
      <c r="O1630" s="2101" t="s">
        <v>6111</v>
      </c>
      <c r="P1630" s="2522"/>
      <c r="Q1630" s="2255"/>
      <c r="R1630" s="2255"/>
      <c r="S1630" s="2255"/>
    </row>
    <row r="1631" spans="1:19" s="2094" customFormat="1"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outlineLevel="1">
      <c r="A1632" s="2171" t="str">
        <f t="shared" ref="A1632:A1643" si="306">IF(G1632&lt;&gt;0,1,"")</f>
        <v/>
      </c>
      <c r="B1632" s="2241" t="s">
        <v>1279</v>
      </c>
      <c r="C1632" s="2257">
        <f>IF(G1632&gt;0,1,0)</f>
        <v>0</v>
      </c>
      <c r="D1632" s="2141" t="s">
        <v>5590</v>
      </c>
      <c r="E1632" s="2444" t="s">
        <v>6350</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27.6" outlineLevel="1">
      <c r="A1633" s="2171" t="str">
        <f t="shared" si="306"/>
        <v/>
      </c>
      <c r="B1633" s="2107" t="s">
        <v>5627</v>
      </c>
      <c r="C1633" s="2257">
        <f t="shared" ref="C1633:C1643" si="311">IF(G1633&gt;0,C1632+1,C1632)</f>
        <v>0</v>
      </c>
      <c r="D1633" s="2141" t="s">
        <v>5625</v>
      </c>
      <c r="E1633" s="2444" t="s">
        <v>5628</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outlineLevel="1">
      <c r="A1634" s="2171" t="str">
        <f t="shared" si="306"/>
        <v/>
      </c>
      <c r="B1634" s="2107" t="str">
        <f>"FCO200-"&amp;$F$8</f>
        <v>FCO200-22</v>
      </c>
      <c r="C1634" s="2257">
        <f>IF(G1634&gt;0,C1633+1,C1633)</f>
        <v>0</v>
      </c>
      <c r="D1634" s="2141" t="s">
        <v>5594</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6227</v>
      </c>
      <c r="Q1634" s="2255"/>
      <c r="R1634" s="2255"/>
      <c r="S1634" s="2255"/>
    </row>
    <row r="1635" spans="1:19" s="2094" customFormat="1"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outlineLevel="1">
      <c r="A1636" s="2171" t="str">
        <f t="shared" si="306"/>
        <v/>
      </c>
      <c r="B1636" s="2250" t="str">
        <f>"LA"&amp;$F$6</f>
        <v>LA18</v>
      </c>
      <c r="C1636" s="2257">
        <f t="shared" si="311"/>
        <v>0</v>
      </c>
      <c r="D1636" s="2141" t="s">
        <v>5598</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outlineLevel="1">
      <c r="A1637" s="2171" t="str">
        <f t="shared" si="306"/>
        <v/>
      </c>
      <c r="B1637" s="2250" t="str">
        <f>"LA"&amp;$F$6</f>
        <v>LA18</v>
      </c>
      <c r="C1637" s="2257">
        <f t="shared" si="311"/>
        <v>0</v>
      </c>
      <c r="D1637" s="2141" t="s">
        <v>5598</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6227</v>
      </c>
      <c r="Q1637" s="2255"/>
      <c r="R1637" s="2255"/>
      <c r="S1637" s="2255"/>
    </row>
    <row r="1638" spans="1:19" s="2094" customFormat="1" outlineLevel="1">
      <c r="A1638" s="2171" t="str">
        <f t="shared" si="306"/>
        <v/>
      </c>
      <c r="B1638" s="2346" t="s">
        <v>5687</v>
      </c>
      <c r="C1638" s="2257">
        <f t="shared" si="311"/>
        <v>0</v>
      </c>
      <c r="D1638" s="2141" t="s">
        <v>5684</v>
      </c>
      <c r="E1638" s="2183" t="s">
        <v>5688</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outlineLevel="1">
      <c r="A1639" s="2171" t="str">
        <f t="shared" si="306"/>
        <v/>
      </c>
      <c r="B1639" s="2346" t="s">
        <v>953</v>
      </c>
      <c r="C1639" s="2257">
        <f t="shared" si="311"/>
        <v>0</v>
      </c>
      <c r="D1639" s="2141" t="s">
        <v>5681</v>
      </c>
      <c r="E1639" s="2183" t="s">
        <v>5682</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outlineLevel="1">
      <c r="A1640" s="2171" t="str">
        <f t="shared" si="306"/>
        <v/>
      </c>
      <c r="B1640" s="2346" t="s">
        <v>6228</v>
      </c>
      <c r="C1640" s="2257">
        <f t="shared" si="311"/>
        <v>0</v>
      </c>
      <c r="D1640" s="2141" t="s">
        <v>5609</v>
      </c>
      <c r="E1640" s="2183" t="s">
        <v>5610</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outlineLevel="1">
      <c r="A1642" s="2171" t="str">
        <f t="shared" si="306"/>
        <v/>
      </c>
      <c r="B1642" s="2238" t="s">
        <v>2187</v>
      </c>
      <c r="C1642" s="2257">
        <f t="shared" si="311"/>
        <v>0</v>
      </c>
      <c r="D1642" s="2141">
        <v>0</v>
      </c>
      <c r="E1642" s="2183" t="s">
        <v>5607</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6113</v>
      </c>
      <c r="K1644" s="2297"/>
      <c r="L1644" s="2299">
        <f>SUM(L1632:L1643)</f>
        <v>0</v>
      </c>
      <c r="M1644" s="2299">
        <f>SUM(M1632:M1643)</f>
        <v>0</v>
      </c>
      <c r="N1644" s="2299">
        <f>SUM(N1632:N1643)</f>
        <v>0</v>
      </c>
      <c r="O1644" s="2299">
        <f>SUM(O1632:O1643)</f>
        <v>0</v>
      </c>
      <c r="P1644" s="2449"/>
    </row>
    <row r="1645" spans="1:19" s="2094" customFormat="1"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outlineLevel="1">
      <c r="A1646" s="2171" t="str">
        <f t="shared" ref="A1646:A1664" si="312">IF(G1646&lt;&gt;0,1,"")</f>
        <v/>
      </c>
      <c r="B1646" s="2390"/>
      <c r="C1646" s="2391">
        <f>IF(G1646&gt;0,1,0)</f>
        <v>0</v>
      </c>
      <c r="D1646" s="2141"/>
      <c r="E1646" s="2392" t="s">
        <v>6114</v>
      </c>
      <c r="F1646" s="2393" t="s">
        <v>2277</v>
      </c>
      <c r="G1646" s="2450"/>
      <c r="H1646" s="2393"/>
      <c r="I1646" s="2393"/>
      <c r="J1646" s="2393"/>
      <c r="K1646" s="2393"/>
      <c r="L1646" s="2394"/>
      <c r="M1646" s="2394"/>
      <c r="N1646" s="2394"/>
      <c r="O1646" s="2395"/>
      <c r="P1646" s="2378"/>
      <c r="Q1646" s="2255"/>
      <c r="R1646" s="2255"/>
      <c r="S1646" s="2255"/>
    </row>
    <row r="1647" spans="1:19" s="2094" customFormat="1"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outlineLevel="1">
      <c r="A1650" s="2171" t="str">
        <f t="shared" si="312"/>
        <v/>
      </c>
      <c r="B1650" s="2390"/>
      <c r="C1650" s="2391">
        <f>IF(G1650&gt;0,1,0)</f>
        <v>0</v>
      </c>
      <c r="D1650" s="2141"/>
      <c r="E1650" s="2392" t="s">
        <v>6209</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outlineLevel="1">
      <c r="A1655" s="2171" t="str">
        <f t="shared" si="312"/>
        <v/>
      </c>
      <c r="B1655" s="2346" t="s">
        <v>636</v>
      </c>
      <c r="C1655" s="2396"/>
      <c r="D1655" s="2141" t="s">
        <v>5043</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outlineLevel="1">
      <c r="A1656" s="2171" t="str">
        <f t="shared" si="312"/>
        <v/>
      </c>
      <c r="B1656" s="2346" t="s">
        <v>566</v>
      </c>
      <c r="C1656" s="2396"/>
      <c r="D1656" s="2141"/>
      <c r="E1656" s="2397" t="s">
        <v>5068</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outlineLevel="1">
      <c r="A1657" s="2171" t="str">
        <f t="shared" si="312"/>
        <v/>
      </c>
      <c r="B1657" s="2346" t="s">
        <v>639</v>
      </c>
      <c r="C1657" s="2396"/>
      <c r="D1657" s="2141" t="s">
        <v>1747</v>
      </c>
      <c r="E1657" s="2397" t="s">
        <v>5320</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outlineLevel="1">
      <c r="A1658" s="2171" t="str">
        <f t="shared" si="312"/>
        <v/>
      </c>
      <c r="B1658" s="2346" t="s">
        <v>21</v>
      </c>
      <c r="C1658" s="2396"/>
      <c r="D1658" s="2141" t="s">
        <v>5321</v>
      </c>
      <c r="E1658" s="2397" t="s">
        <v>5322</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outlineLevel="1">
      <c r="A1660" s="2171" t="str">
        <f t="shared" si="312"/>
        <v/>
      </c>
      <c r="B1660" s="2346" t="s">
        <v>636</v>
      </c>
      <c r="C1660" s="2396"/>
      <c r="D1660" s="2141" t="s">
        <v>5043</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outlineLevel="1">
      <c r="A1661" s="2171" t="str">
        <f t="shared" si="312"/>
        <v/>
      </c>
      <c r="B1661" s="2346" t="s">
        <v>566</v>
      </c>
      <c r="C1661" s="2396"/>
      <c r="D1661" s="2141"/>
      <c r="E1661" s="2397" t="s">
        <v>5068</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outlineLevel="1">
      <c r="A1662" s="2171" t="str">
        <f t="shared" si="312"/>
        <v/>
      </c>
      <c r="B1662" s="2346" t="s">
        <v>639</v>
      </c>
      <c r="C1662" s="2396"/>
      <c r="D1662" s="2141" t="s">
        <v>1747</v>
      </c>
      <c r="E1662" s="2397" t="s">
        <v>5320</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outlineLevel="1">
      <c r="A1663" s="2171" t="str">
        <f t="shared" si="312"/>
        <v/>
      </c>
      <c r="B1663" s="2346" t="s">
        <v>21</v>
      </c>
      <c r="C1663" s="2396"/>
      <c r="D1663" s="2141" t="s">
        <v>5321</v>
      </c>
      <c r="E1663" s="2397" t="s">
        <v>5322</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4.4" outlineLevel="1">
      <c r="A1665" s="2171" t="str">
        <f>A1664</f>
        <v/>
      </c>
      <c r="B1665" s="2250"/>
      <c r="C1665" s="2247"/>
      <c r="D1665" s="2403"/>
      <c r="E1665" s="2256" t="s">
        <v>6125</v>
      </c>
      <c r="F1665" s="2257"/>
      <c r="G1665" s="2439"/>
      <c r="H1665" s="2404"/>
      <c r="I1665" s="2404"/>
      <c r="J1665" s="2404"/>
      <c r="K1665" s="2404"/>
      <c r="L1665" s="2404"/>
      <c r="M1665" s="2404"/>
      <c r="N1665" s="2404"/>
      <c r="O1665" s="2404"/>
      <c r="P1665" s="2438"/>
      <c r="Q1665" s="2255"/>
      <c r="R1665" s="2255"/>
      <c r="S1665" s="2255"/>
    </row>
    <row r="1666" spans="1:16383" s="2094" customFormat="1" outlineLevel="1">
      <c r="A1666" s="2171" t="str">
        <f t="shared" ref="A1666:A1671" si="313">IF(G1666&lt;&gt;0,1,"")</f>
        <v/>
      </c>
      <c r="B1666" s="2241" t="s">
        <v>1408</v>
      </c>
      <c r="C1666" s="2247"/>
      <c r="D1666" s="2141">
        <v>0</v>
      </c>
      <c r="E1666" s="2183" t="s">
        <v>6345</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outlineLevel="1">
      <c r="A1667" s="2171" t="str">
        <f t="shared" si="313"/>
        <v/>
      </c>
      <c r="B1667" s="2241" t="s">
        <v>1137</v>
      </c>
      <c r="C1667" s="2247"/>
      <c r="D1667" s="2141">
        <v>0</v>
      </c>
      <c r="E1667" s="2183" t="s">
        <v>6331</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outlineLevel="1">
      <c r="A1668" s="2171" t="str">
        <f t="shared" si="313"/>
        <v/>
      </c>
      <c r="B1668" s="2241" t="s">
        <v>1138</v>
      </c>
      <c r="C1668" s="2247"/>
      <c r="D1668" s="2141">
        <v>0</v>
      </c>
      <c r="E1668" s="2183" t="s">
        <v>6332</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outlineLevel="1">
      <c r="A1672" s="2171" t="str">
        <f>IF(G1672&lt;&gt;0,1,"")</f>
        <v/>
      </c>
      <c r="B1672" s="2110" t="s">
        <v>5421</v>
      </c>
      <c r="C1672" s="2247"/>
      <c r="D1672" s="2141" t="s">
        <v>5422</v>
      </c>
      <c r="E1672" s="2183" t="s">
        <v>5423</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outlineLevel="1">
      <c r="A1673" s="2171" t="str">
        <f>IF(G1673&lt;&gt;0,1,"")</f>
        <v/>
      </c>
      <c r="B1673" s="2250"/>
      <c r="C1673" s="2452">
        <f>IF(G1673&gt;0,C1664+1,C1664)</f>
        <v>0</v>
      </c>
      <c r="D1673" s="2453"/>
      <c r="E1673" s="2454" t="s">
        <v>6229</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4.4" outlineLevel="1">
      <c r="A1674" s="2171" t="str">
        <f>A1673</f>
        <v/>
      </c>
      <c r="B1674" s="2250"/>
      <c r="C1674" s="2247"/>
      <c r="D1674" s="2248"/>
      <c r="E1674" s="2256" t="s">
        <v>6125</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outlineLevel="1">
      <c r="A1675" s="2171" t="str">
        <f>IF(G1675&lt;&gt;0,1,"")</f>
        <v/>
      </c>
      <c r="B1675" s="2122" t="s">
        <v>5151</v>
      </c>
      <c r="C1675" s="2247"/>
      <c r="D1675" s="2141">
        <v>0</v>
      </c>
      <c r="E1675" s="2183" t="s">
        <v>5152</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outlineLevel="1">
      <c r="A1676" s="2171"/>
      <c r="B1676" s="2122" t="s">
        <v>5154</v>
      </c>
      <c r="C1676" s="2247"/>
      <c r="D1676" s="2141">
        <v>0</v>
      </c>
      <c r="E1676" s="2183" t="s">
        <v>5155</v>
      </c>
      <c r="F1676" s="2141" t="s">
        <v>5156</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outlineLevel="1">
      <c r="A1677" s="2171" t="str">
        <f>IF(G1677&lt;&gt;0,1,"")</f>
        <v/>
      </c>
      <c r="B1677" s="2119" t="s">
        <v>488</v>
      </c>
      <c r="C1677" s="2247"/>
      <c r="D1677" s="2141">
        <v>0</v>
      </c>
      <c r="E1677" s="2183" t="s">
        <v>5074</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outlineLevel="1">
      <c r="A1679" s="2171" t="str">
        <f>IF(G1679&lt;&gt;0,1,"")</f>
        <v/>
      </c>
      <c r="B1679" s="2462" t="s">
        <v>5368</v>
      </c>
      <c r="C1679" s="2247"/>
      <c r="D1679" s="2141" t="s">
        <v>5144</v>
      </c>
      <c r="E1679" s="2183" t="s">
        <v>5369</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4.4" outlineLevel="1">
      <c r="A1681" s="2171" t="str">
        <f>A1680</f>
        <v/>
      </c>
      <c r="B1681" s="2250"/>
      <c r="C1681" s="2247"/>
      <c r="D1681" s="2248"/>
      <c r="E1681" s="2256" t="s">
        <v>6125</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outlineLevel="1">
      <c r="A1682" s="2171" t="str">
        <f t="shared" ref="A1682:A1688" si="320">IF(G1682&lt;&gt;0,1,"")</f>
        <v/>
      </c>
      <c r="B1682" s="2250" t="s">
        <v>6230</v>
      </c>
      <c r="C1682" s="2247"/>
      <c r="D1682" s="2141">
        <v>0</v>
      </c>
      <c r="E1682" s="2183" t="s">
        <v>5235</v>
      </c>
      <c r="F1682" s="2141" t="s">
        <v>5170</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outlineLevel="1">
      <c r="A1683" s="2171" t="str">
        <f t="shared" si="320"/>
        <v/>
      </c>
      <c r="B1683" s="2462" t="s">
        <v>5224</v>
      </c>
      <c r="C1683" s="2247"/>
      <c r="D1683" s="2141">
        <v>0</v>
      </c>
      <c r="E1683" s="2183" t="s">
        <v>6351</v>
      </c>
      <c r="F1683" s="2141" t="s">
        <v>5170</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outlineLevel="1">
      <c r="A1687" s="2171" t="str">
        <f t="shared" si="320"/>
        <v/>
      </c>
      <c r="B1687" s="2238" t="s">
        <v>516</v>
      </c>
      <c r="C1687" s="2247"/>
      <c r="D1687" s="2141" t="s">
        <v>5417</v>
      </c>
      <c r="E1687" s="2183" t="s">
        <v>5418</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outlineLevel="1">
      <c r="A1688" s="2463" t="str">
        <f t="shared" si="320"/>
        <v/>
      </c>
      <c r="B1688" s="2464"/>
      <c r="C1688" s="2452">
        <f>IF(G1688&gt;0,C1680+1,C1680)</f>
        <v>0</v>
      </c>
      <c r="D1688" s="2453"/>
      <c r="E1688" s="2454" t="s">
        <v>6231</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4.4" outlineLevel="1">
      <c r="A1689" s="2171" t="str">
        <f>A1688</f>
        <v/>
      </c>
      <c r="B1689" s="2250"/>
      <c r="C1689" s="2247"/>
      <c r="D1689" s="2248"/>
      <c r="E1689" s="2256" t="s">
        <v>6125</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outlineLevel="1">
      <c r="A1690" s="2171" t="str">
        <f t="shared" ref="A1690:A1696" si="322">IF(G1690&lt;&gt;0,1,"")</f>
        <v/>
      </c>
      <c r="B1690" s="2250" t="s">
        <v>6230</v>
      </c>
      <c r="C1690" s="2247"/>
      <c r="D1690" s="2141">
        <v>0</v>
      </c>
      <c r="E1690" s="2183" t="s">
        <v>5235</v>
      </c>
      <c r="F1690" s="2141" t="s">
        <v>5170</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outlineLevel="1">
      <c r="A1691" s="2171" t="str">
        <f t="shared" si="322"/>
        <v/>
      </c>
      <c r="B1691" s="2462" t="s">
        <v>5224</v>
      </c>
      <c r="C1691" s="2247"/>
      <c r="D1691" s="2141">
        <v>0</v>
      </c>
      <c r="E1691" s="2183" t="s">
        <v>6351</v>
      </c>
      <c r="F1691" s="2141" t="s">
        <v>5170</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outlineLevel="1">
      <c r="A1695" s="2171" t="str">
        <f t="shared" si="322"/>
        <v/>
      </c>
      <c r="B1695" s="2250" t="s">
        <v>988</v>
      </c>
      <c r="C1695" s="2247"/>
      <c r="D1695" s="2141">
        <v>0</v>
      </c>
      <c r="E1695" s="2183" t="s">
        <v>5266</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outlineLevel="1">
      <c r="A1696" s="2171" t="str">
        <f t="shared" si="322"/>
        <v/>
      </c>
      <c r="B1696" s="2250" t="s">
        <v>1440</v>
      </c>
      <c r="C1696" s="2247"/>
      <c r="D1696" s="2141" t="s">
        <v>5417</v>
      </c>
      <c r="E1696" s="2183" t="s">
        <v>5418</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outlineLevel="1">
      <c r="A1697" s="2171" t="str">
        <f>IF(G1697&lt;&gt;0,1,"")</f>
        <v/>
      </c>
      <c r="B1697" s="2250"/>
      <c r="C1697" s="2452">
        <f>IF(G1697&gt;0,C1688+1,C1688)</f>
        <v>0</v>
      </c>
      <c r="D1697" s="2453"/>
      <c r="E1697" s="2454" t="s">
        <v>6232</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4.4" outlineLevel="1">
      <c r="A1698" s="2171" t="str">
        <f>A1697</f>
        <v/>
      </c>
      <c r="B1698" s="2250"/>
      <c r="C1698" s="2247"/>
      <c r="D1698" s="2248"/>
      <c r="E1698" s="2256" t="s">
        <v>6125</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outlineLevel="1">
      <c r="A1699" s="2171" t="str">
        <f t="shared" ref="A1699:A1705" si="326">IF(G1699&lt;&gt;0,1,"")</f>
        <v/>
      </c>
      <c r="B1699" s="2462" t="s">
        <v>5232</v>
      </c>
      <c r="C1699" s="2247"/>
      <c r="D1699" s="2141">
        <v>0</v>
      </c>
      <c r="E1699" s="2183" t="s">
        <v>5233</v>
      </c>
      <c r="F1699" s="2141" t="s">
        <v>5170</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outlineLevel="1">
      <c r="A1700" s="2171" t="str">
        <f t="shared" si="326"/>
        <v/>
      </c>
      <c r="B1700" s="2462" t="s">
        <v>5224</v>
      </c>
      <c r="C1700" s="2247"/>
      <c r="D1700" s="2141">
        <v>0</v>
      </c>
      <c r="E1700" s="2183" t="s">
        <v>5225</v>
      </c>
      <c r="F1700" s="2141" t="s">
        <v>5170</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outlineLevel="1">
      <c r="A1704" s="2171" t="str">
        <f t="shared" si="326"/>
        <v/>
      </c>
      <c r="B1704" s="2462" t="s">
        <v>5403</v>
      </c>
      <c r="C1704" s="2247"/>
      <c r="D1704" s="2141" t="s">
        <v>5395</v>
      </c>
      <c r="E1704" s="2183" t="s">
        <v>5404</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outlineLevel="1">
      <c r="A1705" s="2171" t="str">
        <f t="shared" si="326"/>
        <v/>
      </c>
      <c r="B1705" s="2250"/>
      <c r="C1705" s="2247">
        <f>IF(G1705&gt;0,C1697+1,C1697)</f>
        <v>0</v>
      </c>
      <c r="D1705" s="2248"/>
      <c r="E1705" s="2406" t="s">
        <v>6211</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4.4" outlineLevel="1">
      <c r="A1706" s="2171" t="str">
        <f>A1705</f>
        <v/>
      </c>
      <c r="B1706" s="2250"/>
      <c r="C1706" s="2247"/>
      <c r="D1706" s="2248"/>
      <c r="E1706" s="2256" t="s">
        <v>6125</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outlineLevel="1">
      <c r="A1707" s="2171" t="str">
        <f>IF(G1707&lt;&gt;0,1,"")</f>
        <v/>
      </c>
      <c r="B1707" s="2122" t="s">
        <v>5151</v>
      </c>
      <c r="C1707" s="2247"/>
      <c r="D1707" s="2141">
        <v>0</v>
      </c>
      <c r="E1707" s="2183" t="s">
        <v>5152</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outlineLevel="1">
      <c r="A1708" s="2171" t="str">
        <f>IF(G1708&lt;&gt;0,1,"")</f>
        <v/>
      </c>
      <c r="B1708" s="2119" t="s">
        <v>488</v>
      </c>
      <c r="C1708" s="2247"/>
      <c r="D1708" s="2141">
        <v>0</v>
      </c>
      <c r="E1708" s="2183" t="s">
        <v>5074</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outlineLevel="1">
      <c r="A1710" s="2171" t="str">
        <f>IF(G1710&lt;&gt;0,1,"")</f>
        <v/>
      </c>
      <c r="B1710" s="2110" t="s">
        <v>6233</v>
      </c>
      <c r="C1710" s="2247"/>
      <c r="D1710" s="2141" t="s">
        <v>5144</v>
      </c>
      <c r="E1710" s="2183" t="s">
        <v>5373</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outlineLevel="1">
      <c r="A1711" s="2171" t="str">
        <f>IF(G1711&lt;&gt;0,1,"")</f>
        <v/>
      </c>
      <c r="B1711" s="2250"/>
      <c r="C1711" s="2247">
        <f>IF(G1711&gt;0,C1705+1,C1705)</f>
        <v>0</v>
      </c>
      <c r="D1711" s="2248"/>
      <c r="E1711" s="2406" t="s">
        <v>4450</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4.4" outlineLevel="1">
      <c r="A1712" s="2171" t="str">
        <f>A1711</f>
        <v/>
      </c>
      <c r="B1712" s="2250"/>
      <c r="C1712" s="2247"/>
      <c r="D1712" s="2248"/>
      <c r="E1712" s="2256" t="s">
        <v>6125</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outlineLevel="1">
      <c r="A1715" s="2171" t="str">
        <f>IF(G1715&lt;&gt;0,1,"")</f>
        <v/>
      </c>
      <c r="B1715" s="2110" t="s">
        <v>5421</v>
      </c>
      <c r="C1715" s="2247"/>
      <c r="D1715" s="2141" t="s">
        <v>5422</v>
      </c>
      <c r="E1715" s="2183" t="s">
        <v>5423</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outlineLevel="1">
      <c r="A1716" s="2171" t="str">
        <f>IF(G1716&lt;&gt;0,1,"")</f>
        <v/>
      </c>
      <c r="B1716" s="2250"/>
      <c r="C1716" s="2247">
        <f>IF(G1716&gt;0,C1711+1,C1711)</f>
        <v>0</v>
      </c>
      <c r="D1716" s="2248"/>
      <c r="E1716" s="2406" t="s">
        <v>6213</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4.4" outlineLevel="1">
      <c r="A1717" s="2171" t="str">
        <f>A1716</f>
        <v/>
      </c>
      <c r="B1717" s="2250"/>
      <c r="C1717" s="2247"/>
      <c r="D1717" s="2248"/>
      <c r="E1717" s="2256" t="s">
        <v>6125</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outlineLevel="1">
      <c r="A1721" s="2171" t="str">
        <f>IF(G1721&lt;&gt;0,1,"")</f>
        <v/>
      </c>
      <c r="B1721" s="2110" t="s">
        <v>5421</v>
      </c>
      <c r="C1721" s="2247"/>
      <c r="D1721" s="2141" t="s">
        <v>5422</v>
      </c>
      <c r="E1721" s="2183" t="s">
        <v>5423</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5"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4.4" outlineLevel="1">
      <c r="A1723" s="2171" t="str">
        <f>+A1722</f>
        <v/>
      </c>
      <c r="B1723" s="2407"/>
      <c r="C1723" s="2247"/>
      <c r="D1723" s="2248"/>
      <c r="E1723" s="2256" t="s">
        <v>6125</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outlineLevel="1">
      <c r="A1725" s="2171" t="str">
        <f t="shared" si="328"/>
        <v/>
      </c>
      <c r="B1725" s="2241" t="s">
        <v>1508</v>
      </c>
      <c r="C1725" s="2247"/>
      <c r="D1725" s="2141">
        <v>0</v>
      </c>
      <c r="E1725" s="2183" t="s">
        <v>5159</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outlineLevel="1">
      <c r="A1728" s="2171" t="str">
        <f t="shared" si="328"/>
        <v/>
      </c>
      <c r="B1728" s="2250" t="s">
        <v>6200</v>
      </c>
      <c r="C1728" s="2247"/>
      <c r="D1728" s="2141" t="s">
        <v>5721</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outlineLevel="1">
      <c r="A1730" s="2171" t="str">
        <f t="shared" si="328"/>
        <v/>
      </c>
      <c r="B1730" s="2241" t="s">
        <v>525</v>
      </c>
      <c r="C1730" s="2408"/>
      <c r="D1730" s="2141">
        <v>0</v>
      </c>
      <c r="E1730" s="2183" t="s">
        <v>5248</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outlineLevel="1">
      <c r="A1731" s="2171" t="str">
        <f t="shared" si="328"/>
        <v/>
      </c>
      <c r="B1731" s="2241" t="s">
        <v>1585</v>
      </c>
      <c r="C1731" s="2408"/>
      <c r="D1731" s="2141">
        <v>0</v>
      </c>
      <c r="E1731" s="2183" t="s">
        <v>5709</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outlineLevel="1">
      <c r="A1732" s="2171" t="str">
        <f t="shared" si="328"/>
        <v/>
      </c>
      <c r="B1732" s="2241" t="s">
        <v>5160</v>
      </c>
      <c r="C1732" s="2408"/>
      <c r="D1732" s="2141">
        <v>0</v>
      </c>
      <c r="E1732" s="2183" t="s">
        <v>5161</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outlineLevel="1">
      <c r="A1733" s="2171" t="str">
        <f t="shared" si="328"/>
        <v/>
      </c>
      <c r="B1733" s="2241" t="s">
        <v>5164</v>
      </c>
      <c r="C1733" s="2408"/>
      <c r="D1733" s="2141" t="s">
        <v>5165</v>
      </c>
      <c r="E1733" s="2183" t="s">
        <v>5166</v>
      </c>
      <c r="F1733" s="2141" t="s">
        <v>5167</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outlineLevel="1">
      <c r="A1734" s="2171" t="str">
        <f t="shared" si="328"/>
        <v/>
      </c>
      <c r="B1734" s="2241" t="s">
        <v>5171</v>
      </c>
      <c r="C1734" s="2408"/>
      <c r="D1734" s="2141">
        <v>0</v>
      </c>
      <c r="E1734" s="2183" t="s">
        <v>5172</v>
      </c>
      <c r="F1734" s="2141" t="s">
        <v>5170</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outlineLevel="1">
      <c r="A1735" s="2171" t="str">
        <f t="shared" si="328"/>
        <v/>
      </c>
      <c r="B1735" s="2241" t="s">
        <v>5175</v>
      </c>
      <c r="C1735" s="2408"/>
      <c r="D1735" s="2141">
        <v>0</v>
      </c>
      <c r="E1735" s="2183" t="s">
        <v>5176</v>
      </c>
      <c r="F1735" s="2141" t="s">
        <v>5170</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outlineLevel="1">
      <c r="A1736" s="2171" t="str">
        <f t="shared" si="328"/>
        <v/>
      </c>
      <c r="B1736" s="2241" t="s">
        <v>6226</v>
      </c>
      <c r="C1736" s="2408"/>
      <c r="D1736" s="2141">
        <v>0</v>
      </c>
      <c r="E1736" s="2183" t="s">
        <v>5047</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outlineLevel="1">
      <c r="A1737" s="2171" t="str">
        <f t="shared" si="328"/>
        <v/>
      </c>
      <c r="B1737" s="2241" t="s">
        <v>5177</v>
      </c>
      <c r="C1737" s="2408"/>
      <c r="D1737" s="2141">
        <v>0</v>
      </c>
      <c r="E1737" s="2183" t="s">
        <v>5178</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outlineLevel="1">
      <c r="A1738" s="2171" t="str">
        <f t="shared" si="328"/>
        <v/>
      </c>
      <c r="B1738" s="2241" t="s">
        <v>5179</v>
      </c>
      <c r="C1738" s="2408"/>
      <c r="D1738" s="2141">
        <v>0</v>
      </c>
      <c r="E1738" s="2183" t="s">
        <v>5180</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outlineLevel="1">
      <c r="A1739" s="2171" t="str">
        <f t="shared" si="328"/>
        <v/>
      </c>
      <c r="B1739" s="2241" t="s">
        <v>794</v>
      </c>
      <c r="C1739" s="2408"/>
      <c r="D1739" s="2141" t="s">
        <v>5332</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outlineLevel="1">
      <c r="A1740" s="2171" t="str">
        <f t="shared" si="328"/>
        <v/>
      </c>
      <c r="B1740" s="2241" t="s">
        <v>798</v>
      </c>
      <c r="C1740" s="2408"/>
      <c r="D1740" s="2141" t="s">
        <v>5321</v>
      </c>
      <c r="E1740" s="2183" t="s">
        <v>5333</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outlineLevel="1">
      <c r="A1741" s="2171" t="str">
        <f>IF(G1741&lt;&gt;0,1,"")</f>
        <v/>
      </c>
      <c r="B1741" s="2241" t="s">
        <v>902</v>
      </c>
      <c r="C1741" s="2247"/>
      <c r="D1741" s="2141" t="s">
        <v>5347</v>
      </c>
      <c r="E1741" s="2183" t="s">
        <v>5348</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outlineLevel="1">
      <c r="A1742" s="2171" t="str">
        <f>IF(G1742&lt;&gt;0,1,"")</f>
        <v/>
      </c>
      <c r="B1742" s="2241" t="s">
        <v>1437</v>
      </c>
      <c r="C1742" s="2247"/>
      <c r="D1742" s="2141" t="s">
        <v>5342</v>
      </c>
      <c r="E1742" s="2183" t="s">
        <v>5343</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5" customHeight="1">
      <c r="A1743" s="2468" t="str">
        <f>IF(G1743&lt;&gt;0,1,"")</f>
        <v/>
      </c>
      <c r="B1743" s="2469"/>
      <c r="C1743" s="2452">
        <f>IF(G1743&gt;0,C1722+1,C1722)</f>
        <v>0</v>
      </c>
      <c r="D1743" s="2470"/>
      <c r="E1743" s="2454" t="s">
        <v>6214</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4.4" outlineLevel="1">
      <c r="A1744" s="2171" t="str">
        <f>A1743</f>
        <v/>
      </c>
      <c r="B1744" s="2250"/>
      <c r="C1744" s="2247"/>
      <c r="D1744" s="2248"/>
      <c r="E1744" s="2256" t="s">
        <v>6125</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outlineLevel="1">
      <c r="A1745" s="2171" t="str">
        <f>IF(G1745&lt;&gt;0,1,"")</f>
        <v/>
      </c>
      <c r="B1745" s="2250" t="s">
        <v>653</v>
      </c>
      <c r="C1745" s="2257"/>
      <c r="D1745" s="2141">
        <v>0</v>
      </c>
      <c r="E1745" s="2183" t="s">
        <v>5285</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outlineLevel="1">
      <c r="A1748" s="2171" t="str">
        <f>IF(G1748&lt;&gt;0,1,"")</f>
        <v/>
      </c>
      <c r="B1748" s="2250" t="s">
        <v>654</v>
      </c>
      <c r="C1748" s="2257"/>
      <c r="D1748" s="2141" t="s">
        <v>5467</v>
      </c>
      <c r="E1748" s="2183" t="s">
        <v>5470</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5" customHeight="1">
      <c r="A1749" s="2463" t="str">
        <f>IF(G1749&lt;&gt;0,1,"")</f>
        <v/>
      </c>
      <c r="B1749" s="2464"/>
      <c r="C1749" s="2452">
        <f>IF(G1749&gt;0,C1743+1,C1743)</f>
        <v>0</v>
      </c>
      <c r="D1749" s="2453"/>
      <c r="E1749" s="2454" t="s">
        <v>6234</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4.4" outlineLevel="1">
      <c r="A1750" s="2171" t="str">
        <f>A1749</f>
        <v/>
      </c>
      <c r="B1750" s="2250"/>
      <c r="C1750" s="2247"/>
      <c r="D1750" s="2248"/>
      <c r="E1750" s="2256" t="s">
        <v>6125</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outlineLevel="1">
      <c r="A1751" s="2171" t="str">
        <f t="shared" ref="A1751:A1759" si="336">IF(G1751&lt;&gt;0,1,"")</f>
        <v/>
      </c>
      <c r="B1751" s="2473" t="s">
        <v>1424</v>
      </c>
      <c r="C1751" s="2257"/>
      <c r="D1751" s="2141">
        <v>0</v>
      </c>
      <c r="E1751" s="2183" t="s">
        <v>5242</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outlineLevel="1">
      <c r="A1752" s="2171" t="str">
        <f t="shared" si="336"/>
        <v/>
      </c>
      <c r="B1752" s="2473" t="s">
        <v>2008</v>
      </c>
      <c r="C1752" s="2257"/>
      <c r="D1752" s="2141">
        <v>0</v>
      </c>
      <c r="E1752" s="2183" t="s">
        <v>5243</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outlineLevel="1">
      <c r="A1753" s="2171" t="str">
        <f t="shared" si="336"/>
        <v/>
      </c>
      <c r="B1753" s="2474" t="s">
        <v>6235</v>
      </c>
      <c r="C1753" s="2257"/>
      <c r="D1753" s="2141">
        <v>0</v>
      </c>
      <c r="E1753" s="2183" t="s">
        <v>5480</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outlineLevel="1">
      <c r="A1754" s="2171" t="str">
        <f t="shared" si="336"/>
        <v/>
      </c>
      <c r="B1754" s="2476" t="s">
        <v>5481</v>
      </c>
      <c r="C1754" s="2247"/>
      <c r="D1754" s="2141">
        <v>0</v>
      </c>
      <c r="E1754" s="2183" t="s">
        <v>5482</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outlineLevel="1">
      <c r="A1755" s="2171" t="str">
        <f t="shared" si="336"/>
        <v/>
      </c>
      <c r="B1755" s="2477" t="s">
        <v>9</v>
      </c>
      <c r="C1755" s="2247"/>
      <c r="D1755" s="2141" t="s">
        <v>5474</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outlineLevel="1">
      <c r="A1756" s="2171" t="str">
        <f t="shared" si="336"/>
        <v/>
      </c>
      <c r="B1756" s="2477" t="s">
        <v>585</v>
      </c>
      <c r="C1756" s="2247"/>
      <c r="D1756" s="2141" t="s">
        <v>5475</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outlineLevel="1">
      <c r="A1757" s="2171" t="str">
        <f t="shared" si="336"/>
        <v/>
      </c>
      <c r="B1757" s="2250" t="s">
        <v>654</v>
      </c>
      <c r="C1757" s="2257"/>
      <c r="D1757" s="2141" t="s">
        <v>5467</v>
      </c>
      <c r="E1757" s="2183" t="s">
        <v>5470</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outlineLevel="1">
      <c r="A1758" s="2171" t="str">
        <f t="shared" si="336"/>
        <v/>
      </c>
      <c r="B1758" s="2478" t="s">
        <v>1955</v>
      </c>
      <c r="C1758" s="2257"/>
      <c r="D1758" s="2141" t="s">
        <v>5467</v>
      </c>
      <c r="E1758" s="2183" t="s">
        <v>5468</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5" customHeight="1">
      <c r="A1759" s="2463" t="str">
        <f t="shared" si="336"/>
        <v/>
      </c>
      <c r="B1759" s="2464"/>
      <c r="C1759" s="2452">
        <f>IF(G1759&gt;0,C1749+1,C1749)</f>
        <v>0</v>
      </c>
      <c r="D1759" s="2453"/>
      <c r="E1759" s="2454" t="s">
        <v>6236</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4.4" outlineLevel="1">
      <c r="A1760" s="2171" t="str">
        <f>A1759</f>
        <v/>
      </c>
      <c r="B1760" s="2250"/>
      <c r="C1760" s="2247"/>
      <c r="D1760" s="2248"/>
      <c r="E1760" s="2256" t="s">
        <v>6125</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outlineLevel="1">
      <c r="A1761" s="2171" t="str">
        <f>IF(G1761&lt;&gt;0,1,"")</f>
        <v/>
      </c>
      <c r="B1761" s="2250" t="s">
        <v>5298</v>
      </c>
      <c r="C1761" s="2257"/>
      <c r="D1761" s="2141" t="s">
        <v>5299</v>
      </c>
      <c r="E1761" s="2183" t="s">
        <v>5300</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outlineLevel="1">
      <c r="A1762" s="2171" t="str">
        <f>IF(G1762&lt;&gt;0,1,"")</f>
        <v/>
      </c>
      <c r="B1762" s="2250" t="s">
        <v>5360</v>
      </c>
      <c r="C1762" s="2257"/>
      <c r="D1762" s="2141" t="s">
        <v>5361</v>
      </c>
      <c r="E1762" s="2183" t="s">
        <v>5362</v>
      </c>
      <c r="F1762" s="2141" t="s">
        <v>5363</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outlineLevel="1">
      <c r="A1763" s="2171" t="str">
        <f>IF(G1763&lt;&gt;0,1,"")</f>
        <v/>
      </c>
      <c r="B1763" s="2250" t="s">
        <v>5160</v>
      </c>
      <c r="C1763" s="2247"/>
      <c r="D1763" s="2141">
        <v>0</v>
      </c>
      <c r="E1763" s="2183" t="s">
        <v>5161</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outlineLevel="1">
      <c r="A1764" s="2171" t="str">
        <f>IF(G1764&lt;&gt;0,1,"")</f>
        <v/>
      </c>
      <c r="B1764" s="2250" t="s">
        <v>5162</v>
      </c>
      <c r="C1764" s="2247"/>
      <c r="D1764" s="2141">
        <v>0</v>
      </c>
      <c r="E1764" s="2183" t="s">
        <v>5163</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outlineLevel="1">
      <c r="A1765" s="2171" t="str">
        <f t="shared" ref="A1765:A1775" si="337">IF(G1765&lt;&gt;0,1,"")</f>
        <v/>
      </c>
      <c r="B1765" s="2250" t="s">
        <v>279</v>
      </c>
      <c r="C1765" s="2247"/>
      <c r="D1765" s="2141">
        <v>0</v>
      </c>
      <c r="E1765" s="2183" t="s">
        <v>6352</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outlineLevel="1">
      <c r="A1766" s="2171" t="str">
        <f t="shared" si="337"/>
        <v/>
      </c>
      <c r="B1766" s="2250" t="s">
        <v>6237</v>
      </c>
      <c r="C1766" s="2247"/>
      <c r="D1766" s="2141">
        <v>0</v>
      </c>
      <c r="E1766" s="2183" t="s">
        <v>6353</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outlineLevel="1">
      <c r="A1767" s="2171" t="str">
        <f t="shared" si="337"/>
        <v/>
      </c>
      <c r="B1767" s="2250" t="s">
        <v>745</v>
      </c>
      <c r="C1767" s="2247"/>
      <c r="D1767" s="2141">
        <v>0</v>
      </c>
      <c r="E1767" s="2183" t="s">
        <v>6354</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27.6" outlineLevel="1">
      <c r="A1768" s="2171" t="str">
        <f t="shared" si="337"/>
        <v/>
      </c>
      <c r="B1768" s="2250" t="s">
        <v>5054</v>
      </c>
      <c r="C1768" s="2247"/>
      <c r="D1768" s="2141">
        <v>0</v>
      </c>
      <c r="E1768" s="2267" t="s">
        <v>6355</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outlineLevel="1">
      <c r="A1769" s="2171" t="str">
        <f t="shared" si="337"/>
        <v/>
      </c>
      <c r="B1769" s="2250" t="s">
        <v>6235</v>
      </c>
      <c r="C1769" s="2247"/>
      <c r="D1769" s="2141">
        <v>0</v>
      </c>
      <c r="E1769" s="2183" t="s">
        <v>6356</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outlineLevel="1">
      <c r="A1771" s="2171" t="str">
        <f t="shared" si="337"/>
        <v/>
      </c>
      <c r="B1771" s="2250" t="s">
        <v>5483</v>
      </c>
      <c r="C1771" s="2247"/>
      <c r="D1771" s="2141" t="s">
        <v>5484</v>
      </c>
      <c r="E1771" s="2183" t="s">
        <v>5485</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outlineLevel="1">
      <c r="A1772" s="2171" t="str">
        <f t="shared" si="337"/>
        <v/>
      </c>
      <c r="B1772" s="2250" t="s">
        <v>9</v>
      </c>
      <c r="C1772" s="2247"/>
      <c r="D1772" s="2141" t="s">
        <v>5474</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outlineLevel="1">
      <c r="A1773" s="2171" t="str">
        <f t="shared" si="337"/>
        <v/>
      </c>
      <c r="B1773" s="2250" t="s">
        <v>654</v>
      </c>
      <c r="C1773" s="2257"/>
      <c r="D1773" s="2141" t="s">
        <v>5467</v>
      </c>
      <c r="E1773" s="2183" t="s">
        <v>5470</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outlineLevel="1">
      <c r="A1774" s="2171" t="str">
        <f t="shared" si="337"/>
        <v/>
      </c>
      <c r="B1774" s="2250" t="s">
        <v>1955</v>
      </c>
      <c r="C1774" s="2257"/>
      <c r="D1774" s="2141" t="s">
        <v>5467</v>
      </c>
      <c r="E1774" s="2183" t="s">
        <v>5468</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outlineLevel="1">
      <c r="A1775" s="2171" t="str">
        <f t="shared" si="337"/>
        <v/>
      </c>
      <c r="B1775" s="2250" t="s">
        <v>5476</v>
      </c>
      <c r="C1775" s="2257"/>
      <c r="D1775" s="2141" t="s">
        <v>5477</v>
      </c>
      <c r="E1775" s="2183" t="s">
        <v>5478</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5" customHeight="1">
      <c r="A1776" s="2463" t="str">
        <f>IF(G1776&lt;&gt;0,1,"")</f>
        <v/>
      </c>
      <c r="B1776" s="2250"/>
      <c r="C1776" s="2452">
        <f>IF(G1776&gt;0,C1759+1,C1759)</f>
        <v>0</v>
      </c>
      <c r="D1776" s="2453"/>
      <c r="E1776" s="2454" t="s">
        <v>6201</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4.4" outlineLevel="1">
      <c r="A1777" s="2171" t="str">
        <f>A1776</f>
        <v/>
      </c>
      <c r="B1777" s="2250"/>
      <c r="C1777" s="2247"/>
      <c r="D1777" s="2248"/>
      <c r="E1777" s="2256" t="s">
        <v>6125</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outlineLevel="1">
      <c r="A1778" s="2171" t="str">
        <f>IF(G1778&lt;&gt;0,1,"")</f>
        <v/>
      </c>
      <c r="B1778" s="2250" t="s">
        <v>5637</v>
      </c>
      <c r="C1778" s="2257"/>
      <c r="D1778" s="2141" t="s">
        <v>5629</v>
      </c>
      <c r="E1778" s="2183" t="s">
        <v>5638</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outlineLevel="1">
      <c r="A1779" s="2171" t="str">
        <f>IF(G1779&lt;&gt;0,1,"")</f>
        <v/>
      </c>
      <c r="B1779" s="2250" t="s">
        <v>880</v>
      </c>
      <c r="C1779" s="2247"/>
      <c r="D1779" s="2141">
        <v>0</v>
      </c>
      <c r="E1779" s="2183" t="s">
        <v>5795</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outlineLevel="1">
      <c r="A1780" s="2171" t="str">
        <f>IF(G1780&lt;&gt;0,1,"")</f>
        <v/>
      </c>
      <c r="B1780" s="2250" t="s">
        <v>289</v>
      </c>
      <c r="C1780" s="2257"/>
      <c r="D1780" s="2141">
        <v>0</v>
      </c>
      <c r="E1780" s="2183" t="s">
        <v>5708</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outlineLevel="1">
      <c r="A1783" s="2171" t="str">
        <f t="shared" si="338"/>
        <v/>
      </c>
      <c r="B1783" s="2250" t="s">
        <v>5730</v>
      </c>
      <c r="C1783" s="2257"/>
      <c r="D1783" s="2141" t="s">
        <v>5720</v>
      </c>
      <c r="E1783" s="2183" t="s">
        <v>5731</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5" customHeight="1">
      <c r="A1784" s="2468" t="str">
        <f>IF(G1784&lt;&gt;0,1,"")</f>
        <v/>
      </c>
      <c r="B1784" s="2250"/>
      <c r="C1784" s="2452">
        <f>IF(G1784&gt;0,C1776+1,C1776)</f>
        <v>0</v>
      </c>
      <c r="D1784" s="2470"/>
      <c r="E1784" s="2454" t="s">
        <v>6238</v>
      </c>
      <c r="F1784" s="2455" t="s">
        <v>2385</v>
      </c>
      <c r="G1784" s="2479"/>
      <c r="H1784" s="2458"/>
      <c r="I1784" s="2458"/>
      <c r="J1784" s="2471"/>
      <c r="K1784" s="2471"/>
      <c r="L1784" s="2461"/>
      <c r="M1784" s="2461"/>
      <c r="N1784" s="2461"/>
      <c r="O1784" s="2461"/>
      <c r="P1784" s="2472"/>
    </row>
    <row r="1785" spans="1:19" s="2488" customFormat="1" ht="14.4" outlineLevel="1">
      <c r="A1785" s="2480" t="str">
        <f>A1784</f>
        <v/>
      </c>
      <c r="B1785" s="2250"/>
      <c r="C1785" s="2481"/>
      <c r="D1785" s="2482"/>
      <c r="E1785" s="2483" t="s">
        <v>6125</v>
      </c>
      <c r="F1785" s="2482"/>
      <c r="G1785" s="2484"/>
      <c r="H1785" s="2485"/>
      <c r="I1785" s="2485"/>
      <c r="J1785" s="2485"/>
      <c r="K1785" s="2485"/>
      <c r="L1785" s="2485"/>
      <c r="M1785" s="2485"/>
      <c r="N1785" s="2485"/>
      <c r="O1785" s="2485"/>
      <c r="P1785" s="2486"/>
      <c r="Q1785" s="2487"/>
      <c r="R1785" s="2255"/>
      <c r="S1785" s="2487"/>
    </row>
    <row r="1786" spans="1:19" s="2094" customFormat="1" outlineLevel="1">
      <c r="A1786" s="2171" t="str">
        <f t="shared" si="338"/>
        <v/>
      </c>
      <c r="B1786" s="2250" t="s">
        <v>6239</v>
      </c>
      <c r="C1786" s="2257"/>
      <c r="D1786" s="2141" t="s">
        <v>5651</v>
      </c>
      <c r="E1786" s="2183" t="s">
        <v>5655</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outlineLevel="1">
      <c r="A1787" s="2171" t="str">
        <f t="shared" si="338"/>
        <v/>
      </c>
      <c r="B1787" s="2250" t="s">
        <v>880</v>
      </c>
      <c r="C1787" s="2257"/>
      <c r="D1787" s="2141">
        <v>0</v>
      </c>
      <c r="E1787" s="2183" t="s">
        <v>5795</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outlineLevel="1">
      <c r="A1788" s="2171" t="str">
        <f>IF(G1788&lt;&gt;0,1,"")</f>
        <v/>
      </c>
      <c r="B1788" s="2250" t="s">
        <v>289</v>
      </c>
      <c r="C1788" s="2257"/>
      <c r="D1788" s="2141">
        <v>0</v>
      </c>
      <c r="E1788" s="2183" t="s">
        <v>5708</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outlineLevel="1">
      <c r="A1793" s="2171" t="str">
        <f t="shared" si="338"/>
        <v/>
      </c>
      <c r="B1793" s="2250" t="s">
        <v>6240</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outlineLevel="1">
      <c r="A1795" s="2171" t="str">
        <f>IF(G1795&lt;&gt;0,1,"")</f>
        <v/>
      </c>
      <c r="B1795" s="2250" t="s">
        <v>6241</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outlineLevel="1">
      <c r="A1796" s="2171" t="str">
        <f>IF(G1796&lt;&gt;0,1,"")</f>
        <v/>
      </c>
      <c r="B1796" s="2250" t="s">
        <v>6242</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outlineLevel="1">
      <c r="A1799" s="2171" t="str">
        <f t="shared" si="338"/>
        <v/>
      </c>
      <c r="B1799" s="2250" t="s">
        <v>6</v>
      </c>
      <c r="C1799" s="2257"/>
      <c r="D1799" s="2141">
        <v>0</v>
      </c>
      <c r="E1799" s="2183" t="s">
        <v>3566</v>
      </c>
      <c r="F1799" s="2141" t="s">
        <v>5802</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outlineLevel="1">
      <c r="A1800" s="2171" t="str">
        <f t="shared" si="338"/>
        <v/>
      </c>
      <c r="B1800" s="2250" t="s">
        <v>672</v>
      </c>
      <c r="C1800" s="2257"/>
      <c r="D1800" s="2141">
        <v>0</v>
      </c>
      <c r="E1800" s="2183" t="s">
        <v>5797</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outlineLevel="1">
      <c r="A1801" s="2171" t="str">
        <f t="shared" si="338"/>
        <v/>
      </c>
      <c r="B1801" s="2250" t="s">
        <v>1525</v>
      </c>
      <c r="C1801" s="2257"/>
      <c r="D1801" s="2141" t="s">
        <v>5567</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5" customHeight="1">
      <c r="A1802" s="2463" t="str">
        <f>IF(G1802&lt;&gt;0,1,"")</f>
        <v/>
      </c>
      <c r="B1802" s="2250"/>
      <c r="C1802" s="2452">
        <f>IF(G1802&gt;0,C1784+1,C1784)</f>
        <v>0</v>
      </c>
      <c r="D1802" s="2453"/>
      <c r="E1802" s="2454" t="s">
        <v>6243</v>
      </c>
      <c r="F1802" s="2455" t="s">
        <v>2385</v>
      </c>
      <c r="G1802" s="2456">
        <f>G1632</f>
        <v>0</v>
      </c>
      <c r="H1802" s="2457"/>
      <c r="I1802" s="2457"/>
      <c r="J1802" s="2459"/>
      <c r="K1802" s="2459"/>
      <c r="L1802" s="2460"/>
      <c r="M1802" s="2460"/>
      <c r="N1802" s="2460"/>
      <c r="O1802" s="2460"/>
      <c r="P1802" s="2465"/>
    </row>
    <row r="1803" spans="1:19" s="2094" customFormat="1" ht="14.4" outlineLevel="1">
      <c r="A1803" s="2171" t="str">
        <f>A1802</f>
        <v/>
      </c>
      <c r="B1803" s="2250"/>
      <c r="C1803" s="2247"/>
      <c r="D1803" s="2248"/>
      <c r="E1803" s="2263" t="s">
        <v>6125</v>
      </c>
      <c r="F1803" s="2247"/>
      <c r="G1803" s="2440"/>
      <c r="H1803" s="2253"/>
      <c r="I1803" s="2253"/>
      <c r="J1803" s="2253"/>
      <c r="K1803" s="2253"/>
      <c r="L1803" s="2253"/>
      <c r="M1803" s="2253"/>
      <c r="N1803" s="2253"/>
      <c r="O1803" s="2253"/>
      <c r="P1803" s="2430"/>
      <c r="Q1803" s="2255"/>
      <c r="R1803" s="2255"/>
      <c r="S1803" s="2255"/>
    </row>
    <row r="1804" spans="1:19" s="2094" customFormat="1" outlineLevel="1">
      <c r="A1804" s="2171" t="str">
        <f t="shared" ref="A1804:A1816" si="339">IF(G1804&lt;&gt;0,1,"")</f>
        <v/>
      </c>
      <c r="B1804" s="2250" t="s">
        <v>5077</v>
      </c>
      <c r="C1804" s="2257"/>
      <c r="D1804" s="2141">
        <v>0</v>
      </c>
      <c r="E1804" s="2183" t="s">
        <v>5078</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outlineLevel="1">
      <c r="A1805" s="2171" t="str">
        <f t="shared" si="339"/>
        <v/>
      </c>
      <c r="B1805" s="2250" t="s">
        <v>4557</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outlineLevel="1">
      <c r="A1806" s="2171" t="str">
        <f t="shared" si="339"/>
        <v/>
      </c>
      <c r="B1806" s="2250" t="s">
        <v>4558</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outlineLevel="1">
      <c r="A1808" s="2171" t="str">
        <f t="shared" si="339"/>
        <v/>
      </c>
      <c r="B1808" s="2346" t="s">
        <v>5695</v>
      </c>
      <c r="C1808" s="2257"/>
      <c r="D1808" s="2141">
        <v>0</v>
      </c>
      <c r="E1808" s="2183" t="s">
        <v>5696</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outlineLevel="1">
      <c r="A1809" s="2171" t="str">
        <f t="shared" si="339"/>
        <v/>
      </c>
      <c r="B1809" s="2346" t="s">
        <v>5701</v>
      </c>
      <c r="C1809" s="2257"/>
      <c r="D1809" s="2141">
        <v>0</v>
      </c>
      <c r="E1809" s="2183" t="s">
        <v>5702</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outlineLevel="1">
      <c r="A1810" s="2171" t="str">
        <f t="shared" si="339"/>
        <v/>
      </c>
      <c r="B1810" s="2346" t="s">
        <v>5703</v>
      </c>
      <c r="C1810" s="2257"/>
      <c r="D1810" s="2141">
        <v>0</v>
      </c>
      <c r="E1810" s="2183" t="s">
        <v>5704</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outlineLevel="1">
      <c r="A1811" s="2171" t="str">
        <f t="shared" si="339"/>
        <v/>
      </c>
      <c r="B1811" s="2346" t="s">
        <v>5703</v>
      </c>
      <c r="C1811" s="2257"/>
      <c r="D1811" s="2141">
        <v>0</v>
      </c>
      <c r="E1811" s="2183" t="s">
        <v>5704</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outlineLevel="1">
      <c r="A1812" s="2171" t="str">
        <f t="shared" si="339"/>
        <v/>
      </c>
      <c r="B1812" s="2346" t="s">
        <v>1525</v>
      </c>
      <c r="C1812" s="2257"/>
      <c r="D1812" s="2141" t="s">
        <v>5567</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outlineLevel="1">
      <c r="A1813" s="2171" t="str">
        <f t="shared" si="339"/>
        <v/>
      </c>
      <c r="B1813" s="2346" t="s">
        <v>347</v>
      </c>
      <c r="C1813" s="2257"/>
      <c r="D1813" s="2141" t="s">
        <v>5556</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outlineLevel="1">
      <c r="A1815" s="2171" t="str">
        <f t="shared" si="339"/>
        <v/>
      </c>
      <c r="B1815" s="2346" t="s">
        <v>6244</v>
      </c>
      <c r="C1815" s="2257"/>
      <c r="D1815" s="2141">
        <v>0</v>
      </c>
      <c r="E1815" s="2183" t="s">
        <v>5452</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outlineLevel="1">
      <c r="A1816" s="2171" t="str">
        <f t="shared" si="339"/>
        <v/>
      </c>
      <c r="B1816" s="2346" t="s">
        <v>5453</v>
      </c>
      <c r="C1816" s="2257"/>
      <c r="D1816" s="2141">
        <v>0</v>
      </c>
      <c r="E1816" s="2183" t="s">
        <v>6357</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outlineLevel="1">
      <c r="A1817" s="2171" t="str">
        <f>IF(G1817&lt;&gt;0,1,"")</f>
        <v/>
      </c>
      <c r="B1817" s="2346" t="s">
        <v>1182</v>
      </c>
      <c r="C1817" s="2257"/>
      <c r="D1817" s="2141" t="s">
        <v>5548</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outlineLevel="1">
      <c r="A1818" s="2171" t="str">
        <f>IF(G1818&lt;&gt;0,1,"")</f>
        <v/>
      </c>
      <c r="B1818" s="2346" t="s">
        <v>1589</v>
      </c>
      <c r="C1818" s="2257"/>
      <c r="D1818" s="2141" t="s">
        <v>5455</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5" customHeight="1">
      <c r="A1819" s="2463" t="str">
        <f>IF(G1819&lt;&gt;0,1,"")</f>
        <v/>
      </c>
      <c r="B1819" s="2464"/>
      <c r="C1819" s="2452">
        <f>IF(G1819&gt;0,C1802+1,C1802)</f>
        <v>0</v>
      </c>
      <c r="D1819" s="2453"/>
      <c r="E1819" s="2454" t="s">
        <v>6245</v>
      </c>
      <c r="F1819" s="2455" t="s">
        <v>2385</v>
      </c>
      <c r="G1819" s="2456"/>
      <c r="H1819" s="2457"/>
      <c r="I1819" s="2457"/>
      <c r="J1819" s="2459"/>
      <c r="K1819" s="2459"/>
      <c r="L1819" s="2460"/>
      <c r="M1819" s="2460"/>
      <c r="N1819" s="2460"/>
      <c r="O1819" s="2460"/>
      <c r="P1819" s="2465"/>
    </row>
    <row r="1820" spans="1:19" s="2277" customFormat="1" ht="14.4" outlineLevel="1">
      <c r="A1820" s="2171" t="str">
        <f>A1819</f>
        <v/>
      </c>
      <c r="B1820" s="2489"/>
      <c r="C1820" s="2247"/>
      <c r="D1820" s="2248"/>
      <c r="E1820" s="2263" t="s">
        <v>6125</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outlineLevel="1">
      <c r="A1822" s="2171">
        <f>IF(G1822=0,0,1)</f>
        <v>0</v>
      </c>
      <c r="B1822" s="2241" t="s">
        <v>6246</v>
      </c>
      <c r="C1822" s="2257"/>
      <c r="D1822" s="2141">
        <v>0</v>
      </c>
      <c r="E1822" s="2348" t="s">
        <v>5049</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outlineLevel="1">
      <c r="A1823" s="2171">
        <f>IF(G1823=0,0,1)</f>
        <v>0</v>
      </c>
      <c r="B1823" s="2241" t="s">
        <v>6247</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outlineLevel="1">
      <c r="A1824" s="2171">
        <f t="shared" ref="A1824:A1842" si="345">IF(G1824=0,0,1)</f>
        <v>0</v>
      </c>
      <c r="B1824" s="2250" t="s">
        <v>246</v>
      </c>
      <c r="C1824" s="2378"/>
      <c r="D1824" s="2141">
        <v>0</v>
      </c>
      <c r="E1824" s="2348" t="s">
        <v>5865</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outlineLevel="1">
      <c r="A1825" s="2171">
        <f t="shared" si="345"/>
        <v>0</v>
      </c>
      <c r="B1825" s="2250" t="s">
        <v>5730</v>
      </c>
      <c r="C1825" s="2257"/>
      <c r="D1825" s="2141" t="s">
        <v>5720</v>
      </c>
      <c r="E1825" s="2348" t="s">
        <v>5731</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outlineLevel="1">
      <c r="A1829" s="2171">
        <f t="shared" si="345"/>
        <v>0</v>
      </c>
      <c r="B1829" s="2491" t="s">
        <v>2010</v>
      </c>
      <c r="C1829" s="2257"/>
      <c r="D1829" s="2141" t="s">
        <v>5542</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outlineLevel="1">
      <c r="A1834" s="2171">
        <f t="shared" si="345"/>
        <v>0</v>
      </c>
      <c r="B1834" s="2241" t="s">
        <v>672</v>
      </c>
      <c r="C1834" s="2257"/>
      <c r="D1834" s="2141">
        <v>0</v>
      </c>
      <c r="E1834" s="2348" t="s">
        <v>5797</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outlineLevel="1">
      <c r="A1837" s="2171">
        <f t="shared" si="345"/>
        <v>0</v>
      </c>
      <c r="B1837" s="2241" t="s">
        <v>319</v>
      </c>
      <c r="C1837" s="2257"/>
      <c r="D1837" s="2141">
        <v>0</v>
      </c>
      <c r="E1837" s="2348" t="s">
        <v>5265</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outlineLevel="1">
      <c r="A1838" s="2171">
        <f t="shared" si="345"/>
        <v>0</v>
      </c>
      <c r="B1838" s="2241" t="s">
        <v>1915</v>
      </c>
      <c r="C1838" s="2257"/>
      <c r="D1838" s="2141" t="s">
        <v>5651</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outlineLevel="1">
      <c r="A1839" s="2171">
        <f t="shared" si="345"/>
        <v>0</v>
      </c>
      <c r="B1839" s="2241" t="s">
        <v>6</v>
      </c>
      <c r="C1839" s="2257"/>
      <c r="D1839" s="2141">
        <v>0</v>
      </c>
      <c r="E1839" s="2348" t="s">
        <v>3566</v>
      </c>
      <c r="F1839" s="2490" t="s">
        <v>5802</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outlineLevel="1">
      <c r="A1842" s="2171">
        <f t="shared" si="345"/>
        <v>0</v>
      </c>
      <c r="B1842" s="2241" t="s">
        <v>6247</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5" customHeight="1">
      <c r="A1843" s="2463" t="str">
        <f>IF(G1843=0,"",1)</f>
        <v/>
      </c>
      <c r="B1843" s="2464"/>
      <c r="C1843" s="2452">
        <f>IF(G1843&gt;0,C1819+1,C1819)</f>
        <v>0</v>
      </c>
      <c r="D1843" s="2453"/>
      <c r="E1843" s="2454" t="s">
        <v>6248</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5" customHeight="1">
      <c r="A1845" s="2494" t="str">
        <f t="shared" ref="A1845:A1856" si="346">IF(G1845=0,"",1)</f>
        <v/>
      </c>
      <c r="B1845" s="2504" t="s">
        <v>4991</v>
      </c>
      <c r="C1845" s="100"/>
      <c r="D1845" s="761"/>
      <c r="E1845" s="2505" t="s">
        <v>6358</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5" customHeight="1">
      <c r="A1846" s="2494" t="str">
        <f t="shared" si="346"/>
        <v/>
      </c>
      <c r="B1846" s="2474" t="s">
        <v>867</v>
      </c>
      <c r="C1846" s="100"/>
      <c r="D1846" s="761"/>
      <c r="E1846" s="2505" t="s">
        <v>6359</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5" customHeight="1">
      <c r="A1847" s="2494" t="str">
        <f>IF(G1847=0,"",1)</f>
        <v/>
      </c>
      <c r="B1847" s="2474" t="s">
        <v>520</v>
      </c>
      <c r="C1847" s="100"/>
      <c r="D1847" s="761"/>
      <c r="E1847" s="2505" t="s">
        <v>6360</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5" customHeight="1">
      <c r="A1848" s="2494" t="str">
        <f t="shared" si="346"/>
        <v/>
      </c>
      <c r="B1848" s="2474" t="s">
        <v>6235</v>
      </c>
      <c r="C1848" s="100"/>
      <c r="D1848" s="761"/>
      <c r="E1848" s="2505" t="s">
        <v>6361</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5"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5"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5"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5" customHeight="1">
      <c r="A1852" s="2494" t="str">
        <f t="shared" si="346"/>
        <v/>
      </c>
      <c r="B1852" s="2474" t="s">
        <v>6249</v>
      </c>
      <c r="C1852" s="100"/>
      <c r="D1852" s="761" t="s">
        <v>5339</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5" customHeight="1">
      <c r="A1853" s="2494" t="str">
        <f t="shared" si="346"/>
        <v/>
      </c>
      <c r="B1853" s="2474" t="s">
        <v>1678</v>
      </c>
      <c r="C1853" s="100"/>
      <c r="D1853" s="761" t="s">
        <v>5329</v>
      </c>
      <c r="E1853" s="2505" t="s">
        <v>5330</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5" customHeight="1">
      <c r="A1854" s="2494" t="str">
        <f t="shared" si="346"/>
        <v/>
      </c>
      <c r="B1854" s="2474" t="s">
        <v>144</v>
      </c>
      <c r="C1854" s="100"/>
      <c r="D1854" s="761" t="s">
        <v>5323</v>
      </c>
      <c r="E1854" s="2505" t="s">
        <v>5324</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5" customHeight="1">
      <c r="A1855" s="2494" t="str">
        <f t="shared" si="346"/>
        <v/>
      </c>
      <c r="B1855" s="2474" t="s">
        <v>1836</v>
      </c>
      <c r="C1855" s="100"/>
      <c r="D1855" s="761" t="s">
        <v>5467</v>
      </c>
      <c r="E1855" s="2505" t="s">
        <v>6362</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5" customHeight="1">
      <c r="A1856" s="2468" t="str">
        <f t="shared" si="346"/>
        <v/>
      </c>
      <c r="B1856" s="2469"/>
      <c r="C1856" s="2452">
        <f>IF(G1856&gt;0,C1843+1,C1843)</f>
        <v>0</v>
      </c>
      <c r="D1856" s="2470"/>
      <c r="E1856" s="2454" t="s">
        <v>6250</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5" customHeight="1">
      <c r="A1858" s="2494" t="str">
        <f t="shared" ref="A1858:A1869" si="348">IF(G1858=0,"",1)</f>
        <v/>
      </c>
      <c r="B1858" s="2504" t="s">
        <v>5283</v>
      </c>
      <c r="C1858" s="100"/>
      <c r="D1858" s="761"/>
      <c r="E1858" s="2505" t="s">
        <v>5284</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5"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5"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5"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5"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5"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5"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5" customHeight="1">
      <c r="A1865" s="2494" t="str">
        <f t="shared" si="348"/>
        <v/>
      </c>
      <c r="B1865" s="2474" t="s">
        <v>6249</v>
      </c>
      <c r="C1865" s="100"/>
      <c r="D1865" s="761" t="s">
        <v>5339</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5" customHeight="1">
      <c r="A1866" s="2494" t="str">
        <f>IF(G1866=0,"",1)</f>
        <v/>
      </c>
      <c r="B1866" s="2474" t="s">
        <v>6251</v>
      </c>
      <c r="C1866" s="100"/>
      <c r="D1866" s="761" t="s">
        <v>5576</v>
      </c>
      <c r="E1866" s="2505" t="s">
        <v>5577</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5" customHeight="1">
      <c r="A1867" s="2494" t="str">
        <f t="shared" si="348"/>
        <v/>
      </c>
      <c r="B1867" s="2474" t="s">
        <v>1678</v>
      </c>
      <c r="C1867" s="100"/>
      <c r="D1867" s="761" t="s">
        <v>5329</v>
      </c>
      <c r="E1867" s="2505" t="s">
        <v>6363</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5" customHeight="1">
      <c r="A1868" s="2494" t="str">
        <f t="shared" si="348"/>
        <v/>
      </c>
      <c r="B1868" s="2474" t="s">
        <v>144</v>
      </c>
      <c r="C1868" s="100"/>
      <c r="D1868" s="761" t="s">
        <v>5323</v>
      </c>
      <c r="E1868" s="2505" t="s">
        <v>5324</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5"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4.4" outlineLevel="1">
      <c r="A1871" s="2171" t="str">
        <f>A1870</f>
        <v/>
      </c>
      <c r="B1871" s="2250"/>
      <c r="C1871" s="2247"/>
      <c r="D1871" s="2248"/>
      <c r="E1871" s="2263" t="s">
        <v>6125</v>
      </c>
      <c r="F1871" s="2247"/>
      <c r="G1871" s="2440"/>
      <c r="H1871" s="2253"/>
      <c r="I1871" s="2253"/>
      <c r="J1871" s="2253"/>
      <c r="K1871" s="2253"/>
      <c r="L1871" s="2253"/>
      <c r="M1871" s="2253"/>
      <c r="N1871" s="2253"/>
      <c r="O1871" s="2253"/>
      <c r="P1871" s="2254"/>
      <c r="Q1871" s="2255"/>
      <c r="R1871" s="2255"/>
      <c r="S1871" s="2255"/>
    </row>
    <row r="1872" spans="1:19" s="2094" customFormat="1"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outlineLevel="1">
      <c r="A1873" s="2171" t="str">
        <f>IF(G1873&lt;&gt;0,1,"")</f>
        <v/>
      </c>
      <c r="B1873" s="2250" t="s">
        <v>86</v>
      </c>
      <c r="C1873" s="2257"/>
      <c r="D1873" s="2141">
        <v>0</v>
      </c>
      <c r="E1873" s="2183" t="s">
        <v>5793</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4.4" outlineLevel="1">
      <c r="A1877" s="2171" t="str">
        <f>A1876</f>
        <v/>
      </c>
      <c r="B1877" s="2241"/>
      <c r="C1877" s="2247"/>
      <c r="D1877" s="2248"/>
      <c r="E1877" s="2263" t="s">
        <v>6125</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outlineLevel="1">
      <c r="A1878" s="2171" t="str">
        <f t="shared" ref="A1878:A1894" si="350">IF(G1878&lt;&gt;0,1,"")</f>
        <v/>
      </c>
      <c r="B1878" s="2250" t="s">
        <v>1911</v>
      </c>
      <c r="C1878" s="2257"/>
      <c r="D1878" s="2141">
        <v>0</v>
      </c>
      <c r="E1878" s="2183" t="s">
        <v>6364</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outlineLevel="1">
      <c r="A1880" s="2171" t="str">
        <f>IF(G1880&lt;&gt;0,1,"")</f>
        <v/>
      </c>
      <c r="B1880" s="2250" t="s">
        <v>5752</v>
      </c>
      <c r="C1880" s="2257"/>
      <c r="D1880" s="2141" t="s">
        <v>5728</v>
      </c>
      <c r="E1880" s="2183" t="s">
        <v>5747</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outlineLevel="1">
      <c r="A1881" s="2171" t="str">
        <f t="shared" si="350"/>
        <v/>
      </c>
      <c r="B1881" s="2250" t="s">
        <v>447</v>
      </c>
      <c r="C1881" s="2257"/>
      <c r="D1881" s="2141" t="s">
        <v>5727</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outlineLevel="1">
      <c r="A1885" s="2171" t="str">
        <f>IF(G1885&lt;&gt;0,1,"")</f>
        <v/>
      </c>
      <c r="B1885" s="2250" t="s">
        <v>86</v>
      </c>
      <c r="C1885" s="2257"/>
      <c r="D1885" s="2141">
        <v>0</v>
      </c>
      <c r="E1885" s="2183" t="s">
        <v>5793</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outlineLevel="1">
      <c r="A1886" s="2171" t="str">
        <f>IF(G1886&lt;&gt;0,1,"")</f>
        <v/>
      </c>
      <c r="B1886" s="2250" t="s">
        <v>86</v>
      </c>
      <c r="C1886" s="2257"/>
      <c r="D1886" s="2141">
        <v>0</v>
      </c>
      <c r="E1886" s="2183" t="s">
        <v>5793</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outlineLevel="1">
      <c r="A1887" s="2171" t="str">
        <f t="shared" si="350"/>
        <v/>
      </c>
      <c r="B1887" s="2241" t="s">
        <v>1990</v>
      </c>
      <c r="C1887" s="2257"/>
      <c r="D1887" s="2141">
        <v>0</v>
      </c>
      <c r="E1887" s="2183" t="s">
        <v>5253</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outlineLevel="1">
      <c r="A1889" s="2171" t="str">
        <f>IF(G1889&lt;&gt;0,1,"")</f>
        <v/>
      </c>
      <c r="B1889" s="2250" t="s">
        <v>5789</v>
      </c>
      <c r="C1889" s="2257"/>
      <c r="D1889" s="2141">
        <v>0</v>
      </c>
      <c r="E1889" s="2183" t="s">
        <v>5790</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outlineLevel="1">
      <c r="A1891" s="2171" t="str">
        <f t="shared" si="350"/>
        <v/>
      </c>
      <c r="B1891" s="2241" t="s">
        <v>6</v>
      </c>
      <c r="C1891" s="2257"/>
      <c r="D1891" s="2141"/>
      <c r="E1891" s="2183" t="s">
        <v>3566</v>
      </c>
      <c r="F1891" s="2141" t="s">
        <v>5802</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outlineLevel="1">
      <c r="A1892" s="2171" t="str">
        <f t="shared" si="350"/>
        <v/>
      </c>
      <c r="B1892" s="2241" t="s">
        <v>1410</v>
      </c>
      <c r="C1892" s="2257"/>
      <c r="D1892" s="2141" t="s">
        <v>5337</v>
      </c>
      <c r="E1892" s="2183" t="s">
        <v>5338</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outlineLevel="1">
      <c r="A1893" s="2171" t="str">
        <f>IF(G1893&lt;&gt;0,1,"")</f>
        <v/>
      </c>
      <c r="B1893" s="2241" t="s">
        <v>2006</v>
      </c>
      <c r="C1893" s="2257"/>
      <c r="D1893" s="2141" t="s">
        <v>5568</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outlineLevel="1">
      <c r="A1894" s="2171" t="str">
        <f t="shared" si="350"/>
        <v/>
      </c>
      <c r="B1894" s="2241" t="s">
        <v>5571</v>
      </c>
      <c r="C1894" s="2257"/>
      <c r="D1894" s="2141" t="s">
        <v>5572</v>
      </c>
      <c r="E1894" s="2183" t="s">
        <v>5573</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outlineLevel="1">
      <c r="A1895" s="2171">
        <f>A1630</f>
        <v>0</v>
      </c>
      <c r="B1895" s="2346"/>
      <c r="C1895" s="2412"/>
      <c r="D1895" s="2413"/>
      <c r="E1895" s="2627"/>
      <c r="F1895" s="2626"/>
      <c r="G1895" s="2626"/>
      <c r="H1895" s="2626"/>
      <c r="I1895" s="2626"/>
      <c r="J1895" s="2636" t="s">
        <v>6123</v>
      </c>
      <c r="K1895" s="2636"/>
      <c r="L1895" s="2414">
        <f>SUM(L1646:L1894)</f>
        <v>0</v>
      </c>
      <c r="M1895" s="2414">
        <f>SUM(M1646:M1894)</f>
        <v>0</v>
      </c>
      <c r="N1895" s="2414">
        <f>SUM(N1646:N1894)</f>
        <v>0</v>
      </c>
      <c r="O1895" s="2414">
        <f>SUM(O1646:O1894)</f>
        <v>0</v>
      </c>
      <c r="P1895" s="2435"/>
      <c r="Q1895" s="2255"/>
      <c r="R1895" s="2255"/>
      <c r="S1895" s="2255"/>
    </row>
    <row r="1896" spans="1:19" s="2094" customFormat="1"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outlineLevel="1">
      <c r="A1897" s="2171">
        <f>A1911</f>
        <v>0</v>
      </c>
      <c r="B1897" s="2376"/>
      <c r="C1897" s="2613" t="s">
        <v>6297</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outlineLevel="1">
      <c r="A1898" s="2171">
        <f>A1897</f>
        <v>0</v>
      </c>
      <c r="B1898" s="2250" t="s">
        <v>6104</v>
      </c>
      <c r="C1898" s="2637" t="s">
        <v>1708</v>
      </c>
      <c r="D1898" s="2638" t="s">
        <v>2597</v>
      </c>
      <c r="E1898" s="2640" t="s">
        <v>2598</v>
      </c>
      <c r="F1898" s="2637" t="s">
        <v>2593</v>
      </c>
      <c r="G1898" s="2098" t="s">
        <v>6105</v>
      </c>
      <c r="H1898" s="2101" t="s">
        <v>6106</v>
      </c>
      <c r="I1898" s="2608"/>
      <c r="J1898" s="2608"/>
      <c r="K1898" s="2609"/>
      <c r="L1898" s="2101" t="s">
        <v>6107</v>
      </c>
      <c r="M1898" s="2608"/>
      <c r="N1898" s="2608"/>
      <c r="O1898" s="2609"/>
      <c r="P1898" s="2522" t="s">
        <v>2599</v>
      </c>
      <c r="Q1898" s="2255"/>
      <c r="R1898" s="2255"/>
      <c r="S1898" s="2255"/>
    </row>
    <row r="1899" spans="1:19" s="2094" customFormat="1" outlineLevel="1">
      <c r="A1899" s="2171">
        <f>A1898</f>
        <v>0</v>
      </c>
      <c r="B1899" s="2250"/>
      <c r="C1899" s="2637"/>
      <c r="D1899" s="2639"/>
      <c r="E1899" s="2641"/>
      <c r="F1899" s="2637"/>
      <c r="G1899" s="2100" t="s">
        <v>2286</v>
      </c>
      <c r="H1899" s="2101" t="s">
        <v>6108</v>
      </c>
      <c r="I1899" s="2101" t="s">
        <v>6109</v>
      </c>
      <c r="J1899" s="2101" t="s">
        <v>6110</v>
      </c>
      <c r="K1899" s="2101" t="s">
        <v>6111</v>
      </c>
      <c r="L1899" s="2101" t="s">
        <v>6108</v>
      </c>
      <c r="M1899" s="2101" t="s">
        <v>6109</v>
      </c>
      <c r="N1899" s="2101" t="s">
        <v>6110</v>
      </c>
      <c r="O1899" s="2101" t="s">
        <v>6111</v>
      </c>
      <c r="P1899" s="2522"/>
      <c r="Q1899" s="2255"/>
      <c r="R1899" s="2255"/>
      <c r="S1899" s="2255"/>
    </row>
    <row r="1900" spans="1:19" s="2094" customFormat="1"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outlineLevel="1">
      <c r="A1901" s="2171" t="str">
        <f>IF(G1901&lt;&gt;0,1,"")</f>
        <v/>
      </c>
      <c r="B1901" s="2241" t="str">
        <f>IF($F$8=15,"tr400","tr4001")</f>
        <v>tr4001</v>
      </c>
      <c r="C1901" s="2257">
        <f>IF(G1901&gt;0,1,0)</f>
        <v>0</v>
      </c>
      <c r="D1901" s="2141" t="s">
        <v>5588</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outlineLevel="1">
      <c r="A1902" s="2171" t="str">
        <f>IF(G1902&lt;&gt;0,1,"")</f>
        <v/>
      </c>
      <c r="B1902" s="2107" t="str">
        <f>"FCO100-"&amp;$F$8</f>
        <v>FCO100-22</v>
      </c>
      <c r="C1902" s="2257">
        <f>IF(G1902&gt;0,C1901+1,C1901)</f>
        <v>0</v>
      </c>
      <c r="D1902" s="2141" t="s">
        <v>5594</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outlineLevel="1">
      <c r="A1904" s="2171" t="str">
        <f t="shared" si="359"/>
        <v/>
      </c>
      <c r="B1904" s="2250" t="str">
        <f>"LA"&amp;$F$6</f>
        <v>LA18</v>
      </c>
      <c r="C1904" s="2257">
        <f t="shared" ref="C1904:C1910" si="360">IF(G1904&gt;0,C1903+1,C1903)</f>
        <v>0</v>
      </c>
      <c r="D1904" s="2141" t="s">
        <v>5598</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outlineLevel="1">
      <c r="A1905" s="2171" t="str">
        <f t="shared" si="359"/>
        <v/>
      </c>
      <c r="B1905" s="2346" t="s">
        <v>1462</v>
      </c>
      <c r="C1905" s="2257">
        <f t="shared" si="360"/>
        <v>0</v>
      </c>
      <c r="D1905" s="2141" t="s">
        <v>5684</v>
      </c>
      <c r="E1905" s="2183" t="s">
        <v>5685</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outlineLevel="1">
      <c r="A1906" s="2171" t="str">
        <f t="shared" si="359"/>
        <v/>
      </c>
      <c r="B1906" s="2346" t="s">
        <v>953</v>
      </c>
      <c r="C1906" s="2257">
        <f t="shared" si="360"/>
        <v>0</v>
      </c>
      <c r="D1906" s="2141" t="s">
        <v>5681</v>
      </c>
      <c r="E1906" s="2183" t="s">
        <v>5682</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outlineLevel="1">
      <c r="A1907" s="2171" t="str">
        <f t="shared" si="359"/>
        <v/>
      </c>
      <c r="B1907" s="2346" t="s">
        <v>1461</v>
      </c>
      <c r="C1907" s="2257">
        <f t="shared" si="360"/>
        <v>0</v>
      </c>
      <c r="D1907" s="2141" t="s">
        <v>5617</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outlineLevel="1">
      <c r="A1911" s="2171">
        <f>IF(SUM(L1911:O1911)&gt;0,1,)</f>
        <v>0</v>
      </c>
      <c r="B1911" s="2250"/>
      <c r="C1911" s="2382"/>
      <c r="D1911" s="2383"/>
      <c r="E1911" s="2384"/>
      <c r="F1911" s="2382"/>
      <c r="G1911" s="2434"/>
      <c r="H1911" s="2382"/>
      <c r="I1911" s="2382"/>
      <c r="J1911" s="2106" t="s">
        <v>6113</v>
      </c>
      <c r="K1911" s="2382"/>
      <c r="L1911" s="2384">
        <f>SUM(L1901:L1910)</f>
        <v>0</v>
      </c>
      <c r="M1911" s="2384">
        <f>SUM(M1901:M1910)</f>
        <v>0</v>
      </c>
      <c r="N1911" s="2384">
        <f>SUM(N1901:N1910)</f>
        <v>0</v>
      </c>
      <c r="O1911" s="2384">
        <f>SUM(O1901:O1910)</f>
        <v>0</v>
      </c>
      <c r="P1911" s="2435"/>
      <c r="Q1911" s="2255"/>
      <c r="R1911" s="2255"/>
      <c r="S1911" s="2255"/>
    </row>
    <row r="1912" spans="1:19" s="2094" customFormat="1"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outlineLevel="1">
      <c r="A1913" s="2171" t="str">
        <f t="shared" ref="A1913:A1931" si="361">IF(G1913&lt;&gt;0,1,"")</f>
        <v/>
      </c>
      <c r="B1913" s="2390"/>
      <c r="C1913" s="2391">
        <f>IF(G1913&gt;0,1,0)</f>
        <v>0</v>
      </c>
      <c r="D1913" s="2141"/>
      <c r="E1913" s="2392" t="s">
        <v>6114</v>
      </c>
      <c r="F1913" s="2393" t="s">
        <v>2277</v>
      </c>
      <c r="G1913" s="2450"/>
      <c r="H1913" s="2393"/>
      <c r="I1913" s="2393"/>
      <c r="J1913" s="2393"/>
      <c r="K1913" s="2393"/>
      <c r="L1913" s="2394"/>
      <c r="M1913" s="2394"/>
      <c r="N1913" s="2394"/>
      <c r="O1913" s="2395"/>
      <c r="P1913" s="2378"/>
      <c r="Q1913" s="2255"/>
      <c r="R1913" s="2255"/>
      <c r="S1913" s="2255"/>
    </row>
    <row r="1914" spans="1:19" s="2094" customFormat="1"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outlineLevel="1">
      <c r="A1917" s="2171" t="str">
        <f t="shared" si="361"/>
        <v/>
      </c>
      <c r="B1917" s="2390"/>
      <c r="C1917" s="2391">
        <f>IF(G1917&gt;0,1,0)</f>
        <v>0</v>
      </c>
      <c r="D1917" s="2141"/>
      <c r="E1917" s="2392" t="s">
        <v>6209</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outlineLevel="1">
      <c r="A1922" s="2171" t="str">
        <f t="shared" si="361"/>
        <v/>
      </c>
      <c r="B1922" s="2346" t="s">
        <v>636</v>
      </c>
      <c r="C1922" s="2396"/>
      <c r="D1922" s="2141" t="s">
        <v>5043</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outlineLevel="1">
      <c r="A1923" s="2171" t="str">
        <f t="shared" si="361"/>
        <v/>
      </c>
      <c r="B1923" s="2346" t="s">
        <v>566</v>
      </c>
      <c r="C1923" s="2396"/>
      <c r="D1923" s="2141"/>
      <c r="E1923" s="2397" t="s">
        <v>5068</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outlineLevel="1">
      <c r="A1924" s="2171" t="str">
        <f t="shared" si="361"/>
        <v/>
      </c>
      <c r="B1924" s="2346" t="s">
        <v>639</v>
      </c>
      <c r="C1924" s="2396"/>
      <c r="D1924" s="2141" t="s">
        <v>1747</v>
      </c>
      <c r="E1924" s="2397" t="s">
        <v>5320</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outlineLevel="1">
      <c r="A1925" s="2171" t="str">
        <f t="shared" si="361"/>
        <v/>
      </c>
      <c r="B1925" s="2346" t="s">
        <v>21</v>
      </c>
      <c r="C1925" s="2396"/>
      <c r="D1925" s="2141" t="s">
        <v>5321</v>
      </c>
      <c r="E1925" s="2397" t="s">
        <v>5322</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outlineLevel="1">
      <c r="A1927" s="2171" t="str">
        <f t="shared" si="361"/>
        <v/>
      </c>
      <c r="B1927" s="2346" t="s">
        <v>636</v>
      </c>
      <c r="C1927" s="2396"/>
      <c r="D1927" s="2141" t="s">
        <v>5043</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outlineLevel="1">
      <c r="A1928" s="2171" t="str">
        <f t="shared" si="361"/>
        <v/>
      </c>
      <c r="B1928" s="2346" t="s">
        <v>566</v>
      </c>
      <c r="C1928" s="2396"/>
      <c r="D1928" s="2141"/>
      <c r="E1928" s="2397" t="s">
        <v>5068</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outlineLevel="1">
      <c r="A1929" s="2171" t="str">
        <f t="shared" si="361"/>
        <v/>
      </c>
      <c r="B1929" s="2346" t="s">
        <v>639</v>
      </c>
      <c r="C1929" s="2396"/>
      <c r="D1929" s="2141" t="s">
        <v>1747</v>
      </c>
      <c r="E1929" s="2397" t="s">
        <v>5320</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outlineLevel="1">
      <c r="A1930" s="2171" t="str">
        <f t="shared" si="361"/>
        <v/>
      </c>
      <c r="B1930" s="2346" t="s">
        <v>21</v>
      </c>
      <c r="C1930" s="2396"/>
      <c r="D1930" s="2141" t="s">
        <v>5321</v>
      </c>
      <c r="E1930" s="2397" t="s">
        <v>5322</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4.4" outlineLevel="1">
      <c r="A1932" s="2171" t="str">
        <f>A1931</f>
        <v/>
      </c>
      <c r="B1932" s="2250"/>
      <c r="C1932" s="2247"/>
      <c r="D1932" s="2403"/>
      <c r="E1932" s="2256" t="s">
        <v>6125</v>
      </c>
      <c r="F1932" s="2257"/>
      <c r="G1932" s="2439"/>
      <c r="H1932" s="2404"/>
      <c r="I1932" s="2404"/>
      <c r="J1932" s="2404"/>
      <c r="K1932" s="2404"/>
      <c r="L1932" s="2404"/>
      <c r="M1932" s="2404"/>
      <c r="N1932" s="2404"/>
      <c r="O1932" s="2404"/>
      <c r="P1932" s="2438"/>
      <c r="Q1932" s="2255"/>
      <c r="R1932" s="2255"/>
      <c r="S1932" s="2255"/>
    </row>
    <row r="1933" spans="1:19" s="2094" customFormat="1" outlineLevel="1">
      <c r="A1933" s="2171" t="str">
        <f>IF(G1933&lt;&gt;0,1,"")</f>
        <v/>
      </c>
      <c r="B1933" s="2241" t="s">
        <v>5837</v>
      </c>
      <c r="C1933" s="2247"/>
      <c r="D1933" s="2141">
        <v>0</v>
      </c>
      <c r="E1933" s="2183" t="s">
        <v>5838</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outlineLevel="1">
      <c r="A1934" s="2171" t="str">
        <f t="shared" ref="A1934:A1947" si="362">IF(G1934&lt;&gt;0,1,"")</f>
        <v/>
      </c>
      <c r="B1934" s="2241" t="s">
        <v>5839</v>
      </c>
      <c r="C1934" s="2247"/>
      <c r="D1934" s="2141">
        <v>0</v>
      </c>
      <c r="E1934" s="2183" t="s">
        <v>5840</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outlineLevel="1">
      <c r="A1935" s="2171" t="str">
        <f t="shared" si="362"/>
        <v/>
      </c>
      <c r="B1935" s="2241" t="s">
        <v>5843</v>
      </c>
      <c r="C1935" s="2247"/>
      <c r="D1935" s="2141">
        <v>0</v>
      </c>
      <c r="E1935" s="2183" t="s">
        <v>5844</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outlineLevel="1">
      <c r="A1936" s="2171" t="str">
        <f t="shared" si="362"/>
        <v/>
      </c>
      <c r="B1936" s="2241" t="s">
        <v>5845</v>
      </c>
      <c r="C1936" s="2247"/>
      <c r="D1936" s="2141">
        <v>0</v>
      </c>
      <c r="E1936" s="2183" t="s">
        <v>5846</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outlineLevel="1">
      <c r="A1937" s="2171" t="str">
        <f t="shared" si="362"/>
        <v/>
      </c>
      <c r="B1937" s="2241" t="s">
        <v>5847</v>
      </c>
      <c r="C1937" s="2247"/>
      <c r="D1937" s="2141">
        <v>0</v>
      </c>
      <c r="E1937" s="2183" t="s">
        <v>5848</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outlineLevel="1">
      <c r="A1938" s="2171" t="str">
        <f t="shared" si="362"/>
        <v/>
      </c>
      <c r="B1938" s="2241" t="s">
        <v>5851</v>
      </c>
      <c r="C1938" s="2247"/>
      <c r="D1938" s="2141">
        <v>0</v>
      </c>
      <c r="E1938" s="2183" t="s">
        <v>5852</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outlineLevel="1">
      <c r="A1939" s="2171" t="str">
        <f t="shared" si="362"/>
        <v/>
      </c>
      <c r="B1939" s="2241" t="s">
        <v>5853</v>
      </c>
      <c r="C1939" s="2247"/>
      <c r="D1939" s="2141">
        <v>0</v>
      </c>
      <c r="E1939" s="2183" t="s">
        <v>5854</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outlineLevel="1">
      <c r="A1940" s="2171" t="str">
        <f t="shared" si="362"/>
        <v/>
      </c>
      <c r="B1940" s="2241" t="s">
        <v>5857</v>
      </c>
      <c r="C1940" s="2247"/>
      <c r="D1940" s="2141">
        <v>0</v>
      </c>
      <c r="E1940" s="2183" t="s">
        <v>5858</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outlineLevel="1">
      <c r="A1941" s="2171" t="str">
        <f t="shared" si="362"/>
        <v/>
      </c>
      <c r="B1941" s="2241" t="s">
        <v>5859</v>
      </c>
      <c r="C1941" s="2247"/>
      <c r="D1941" s="2141">
        <v>0</v>
      </c>
      <c r="E1941" s="2183" t="s">
        <v>5860</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outlineLevel="1">
      <c r="A1942" s="2171" t="str">
        <f t="shared" si="362"/>
        <v/>
      </c>
      <c r="B1942" s="2241" t="s">
        <v>5863</v>
      </c>
      <c r="C1942" s="2247"/>
      <c r="D1942" s="2141">
        <v>0</v>
      </c>
      <c r="E1942" s="2183" t="s">
        <v>5864</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outlineLevel="1">
      <c r="A1943" s="2171" t="str">
        <f t="shared" si="362"/>
        <v/>
      </c>
      <c r="B1943" s="2241" t="s">
        <v>4835</v>
      </c>
      <c r="C1943" s="2247"/>
      <c r="D1943" s="2141">
        <v>0</v>
      </c>
      <c r="E1943" s="2183" t="s">
        <v>5061</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outlineLevel="1">
      <c r="A1944" s="2171" t="str">
        <f t="shared" si="362"/>
        <v/>
      </c>
      <c r="B1944" s="2241" t="s">
        <v>5056</v>
      </c>
      <c r="C1944" s="2247"/>
      <c r="D1944" s="2141">
        <v>0</v>
      </c>
      <c r="E1944" s="2183" t="s">
        <v>5057</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outlineLevel="1">
      <c r="A1950" s="2171" t="str">
        <f>IF(G1950&lt;&gt;0,1,"")</f>
        <v/>
      </c>
      <c r="B1950" s="2110" t="s">
        <v>5421</v>
      </c>
      <c r="C1950" s="2247"/>
      <c r="D1950" s="2141" t="s">
        <v>5422</v>
      </c>
      <c r="E1950" s="2183" t="s">
        <v>5423</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outlineLevel="1">
      <c r="A1951" s="2171" t="str">
        <f>IF(G1951&lt;&gt;0,1,"")</f>
        <v/>
      </c>
      <c r="B1951" s="2250"/>
      <c r="C1951" s="2247">
        <f>IF(G1951&gt;0,C1931+1,C1927)</f>
        <v>0</v>
      </c>
      <c r="D1951" s="2248"/>
      <c r="E1951" s="2406" t="s">
        <v>6229</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4.4" outlineLevel="1">
      <c r="A1952" s="2171" t="str">
        <f>A1951</f>
        <v/>
      </c>
      <c r="B1952" s="2250"/>
      <c r="C1952" s="2247"/>
      <c r="D1952" s="2248"/>
      <c r="E1952" s="2256" t="s">
        <v>6125</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outlineLevel="1">
      <c r="A1953" s="2171" t="str">
        <f t="shared" ref="A1953:A1959" si="371">IF(G1953&lt;&gt;0,1,"")</f>
        <v/>
      </c>
      <c r="B1953" s="2122" t="s">
        <v>5147</v>
      </c>
      <c r="C1953" s="2247"/>
      <c r="D1953" s="2141">
        <v>0</v>
      </c>
      <c r="E1953" s="2183" t="s">
        <v>5148</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outlineLevel="1">
      <c r="A1954" s="2171" t="str">
        <f t="shared" si="371"/>
        <v/>
      </c>
      <c r="B1954" s="2122" t="s">
        <v>5154</v>
      </c>
      <c r="C1954" s="2247"/>
      <c r="D1954" s="2141">
        <v>0</v>
      </c>
      <c r="E1954" s="2183" t="s">
        <v>5155</v>
      </c>
      <c r="F1954" s="2141" t="s">
        <v>5156</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outlineLevel="1">
      <c r="A1955" s="2171" t="str">
        <f t="shared" si="371"/>
        <v/>
      </c>
      <c r="B1955" s="2119" t="s">
        <v>488</v>
      </c>
      <c r="C1955" s="2247"/>
      <c r="D1955" s="2141">
        <v>0</v>
      </c>
      <c r="E1955" s="2183" t="s">
        <v>5074</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outlineLevel="1">
      <c r="A1956" s="2171" t="str">
        <f t="shared" si="371"/>
        <v/>
      </c>
      <c r="B1956" s="2250" t="s">
        <v>6252</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outlineLevel="1">
      <c r="A1957" s="2171" t="str">
        <f t="shared" si="371"/>
        <v/>
      </c>
      <c r="B1957" s="2250" t="s">
        <v>6253</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outlineLevel="1">
      <c r="A1958" s="2171" t="str">
        <f t="shared" si="371"/>
        <v/>
      </c>
      <c r="B1958" s="2110" t="s">
        <v>6233</v>
      </c>
      <c r="C1958" s="2247"/>
      <c r="D1958" s="2141" t="s">
        <v>5144</v>
      </c>
      <c r="E1958" s="2183" t="s">
        <v>5373</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outlineLevel="1">
      <c r="A1959" s="2171" t="str">
        <f t="shared" si="371"/>
        <v/>
      </c>
      <c r="B1959" s="2250"/>
      <c r="C1959" s="2247">
        <f>IF(G1959&gt;0,C1931+2,C1931)</f>
        <v>0</v>
      </c>
      <c r="D1959" s="2248"/>
      <c r="E1959" s="2406" t="s">
        <v>6254</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4.4" outlineLevel="1">
      <c r="A1960" s="2171" t="str">
        <f>A1959</f>
        <v/>
      </c>
      <c r="B1960" s="2250"/>
      <c r="C1960" s="2247"/>
      <c r="D1960" s="2248"/>
      <c r="E1960" s="2256" t="s">
        <v>6125</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outlineLevel="1">
      <c r="A1965" s="2171" t="str">
        <f t="shared" si="374"/>
        <v/>
      </c>
      <c r="B1965" s="2110" t="s">
        <v>5421</v>
      </c>
      <c r="C1965" s="2247"/>
      <c r="D1965" s="2141" t="s">
        <v>5422</v>
      </c>
      <c r="E1965" s="2183" t="s">
        <v>5423</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4.4" outlineLevel="1">
      <c r="A1967" s="2171" t="str">
        <f>+A1966</f>
        <v/>
      </c>
      <c r="B1967" s="2407"/>
      <c r="C1967" s="2247"/>
      <c r="D1967" s="2248"/>
      <c r="E1967" s="2256" t="s">
        <v>6125</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outlineLevel="1">
      <c r="A1969" s="2171" t="str">
        <f t="shared" si="375"/>
        <v/>
      </c>
      <c r="B1969" s="2241" t="s">
        <v>1508</v>
      </c>
      <c r="C1969" s="2247"/>
      <c r="D1969" s="2141">
        <v>0</v>
      </c>
      <c r="E1969" s="2183" t="s">
        <v>5159</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outlineLevel="1">
      <c r="A1972" s="2171" t="str">
        <f t="shared" si="375"/>
        <v/>
      </c>
      <c r="B1972" s="2250" t="s">
        <v>6200</v>
      </c>
      <c r="C1972" s="2247"/>
      <c r="D1972" s="2141" t="s">
        <v>5721</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outlineLevel="1">
      <c r="A1974" s="2171" t="str">
        <f t="shared" si="375"/>
        <v/>
      </c>
      <c r="B1974" s="2241" t="s">
        <v>525</v>
      </c>
      <c r="C1974" s="2408"/>
      <c r="D1974" s="2141">
        <v>0</v>
      </c>
      <c r="E1974" s="2183" t="s">
        <v>5248</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outlineLevel="1">
      <c r="A1975" s="2171" t="str">
        <f t="shared" si="375"/>
        <v/>
      </c>
      <c r="B1975" s="2241" t="s">
        <v>1585</v>
      </c>
      <c r="C1975" s="2408"/>
      <c r="D1975" s="2141">
        <v>0</v>
      </c>
      <c r="E1975" s="2183" t="s">
        <v>5709</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outlineLevel="1">
      <c r="A1976" s="2171" t="str">
        <f t="shared" si="375"/>
        <v/>
      </c>
      <c r="B1976" s="2241" t="s">
        <v>5160</v>
      </c>
      <c r="C1976" s="2408"/>
      <c r="D1976" s="2141">
        <v>0</v>
      </c>
      <c r="E1976" s="2183" t="s">
        <v>5161</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outlineLevel="1">
      <c r="A1977" s="2171" t="str">
        <f t="shared" si="375"/>
        <v/>
      </c>
      <c r="B1977" s="2241" t="s">
        <v>5164</v>
      </c>
      <c r="C1977" s="2408"/>
      <c r="D1977" s="2141" t="s">
        <v>5165</v>
      </c>
      <c r="E1977" s="2183" t="s">
        <v>5166</v>
      </c>
      <c r="F1977" s="2141" t="s">
        <v>5167</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outlineLevel="1">
      <c r="A1979" s="2171" t="str">
        <f>IF(G1979&lt;&gt;0,1,"")</f>
        <v/>
      </c>
      <c r="B1979" s="2241" t="s">
        <v>5171</v>
      </c>
      <c r="C1979" s="2408"/>
      <c r="D1979" s="2141">
        <v>0</v>
      </c>
      <c r="E1979" s="2183" t="s">
        <v>5172</v>
      </c>
      <c r="F1979" s="2141" t="s">
        <v>5170</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outlineLevel="1">
      <c r="A1981" s="2171" t="str">
        <f t="shared" ref="A1981:A1986" si="376">IF(G1981&lt;&gt;0,1,"")</f>
        <v/>
      </c>
      <c r="B1981" s="2241" t="s">
        <v>5175</v>
      </c>
      <c r="C1981" s="2408"/>
      <c r="D1981" s="2141">
        <v>0</v>
      </c>
      <c r="E1981" s="2183" t="s">
        <v>5176</v>
      </c>
      <c r="F1981" s="2141" t="s">
        <v>5170</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outlineLevel="1">
      <c r="A1982" s="2171" t="str">
        <f t="shared" si="376"/>
        <v/>
      </c>
      <c r="B1982" s="2241" t="s">
        <v>6226</v>
      </c>
      <c r="C1982" s="2408"/>
      <c r="D1982" s="2141">
        <v>0</v>
      </c>
      <c r="E1982" s="2183" t="s">
        <v>5047</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outlineLevel="1">
      <c r="A1983" s="2171" t="str">
        <f t="shared" si="376"/>
        <v/>
      </c>
      <c r="B1983" s="2241" t="s">
        <v>5177</v>
      </c>
      <c r="C1983" s="2408"/>
      <c r="D1983" s="2141">
        <v>0</v>
      </c>
      <c r="E1983" s="2183" t="s">
        <v>5178</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outlineLevel="1">
      <c r="A1984" s="2171" t="str">
        <f t="shared" si="376"/>
        <v/>
      </c>
      <c r="B1984" s="2241" t="s">
        <v>5179</v>
      </c>
      <c r="C1984" s="2408"/>
      <c r="D1984" s="2141">
        <v>0</v>
      </c>
      <c r="E1984" s="2183" t="s">
        <v>5180</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outlineLevel="1">
      <c r="A1985" s="2171" t="str">
        <f t="shared" si="376"/>
        <v/>
      </c>
      <c r="B1985" s="2241" t="s">
        <v>794</v>
      </c>
      <c r="C1985" s="2408"/>
      <c r="D1985" s="2141" t="s">
        <v>5332</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outlineLevel="1">
      <c r="A1986" s="2171" t="str">
        <f t="shared" si="376"/>
        <v/>
      </c>
      <c r="B1986" s="2241" t="s">
        <v>798</v>
      </c>
      <c r="C1986" s="2408"/>
      <c r="D1986" s="2141" t="s">
        <v>5321</v>
      </c>
      <c r="E1986" s="2183" t="s">
        <v>5333</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outlineLevel="1">
      <c r="A1987" s="2171" t="str">
        <f>IF(G1987&lt;&gt;0,1,"")</f>
        <v/>
      </c>
      <c r="B1987" s="2241" t="s">
        <v>902</v>
      </c>
      <c r="C1987" s="2247"/>
      <c r="D1987" s="2141" t="s">
        <v>5347</v>
      </c>
      <c r="E1987" s="2183" t="s">
        <v>5348</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outlineLevel="1">
      <c r="A1988" s="2171" t="str">
        <f>IF(G1988&lt;&gt;0,1,"")</f>
        <v/>
      </c>
      <c r="B1988" s="2241" t="s">
        <v>1437</v>
      </c>
      <c r="C1988" s="2247"/>
      <c r="D1988" s="2141" t="s">
        <v>5342</v>
      </c>
      <c r="E1988" s="2183" t="s">
        <v>5343</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outlineLevel="1">
      <c r="A1989" s="2171" t="str">
        <f>IF(G1989&lt;&gt;0,1,"")</f>
        <v/>
      </c>
      <c r="B1989" s="2241"/>
      <c r="C1989" s="2247">
        <f>IF(G1989&gt;0,C1966+1,C1966)</f>
        <v>0</v>
      </c>
      <c r="D1989" s="2248"/>
      <c r="E1989" s="2365" t="s">
        <v>6201</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4.4" outlineLevel="1">
      <c r="A1990" s="2171" t="str">
        <f>A1989</f>
        <v/>
      </c>
      <c r="B1990" s="2241"/>
      <c r="C1990" s="2247"/>
      <c r="D1990" s="2248"/>
      <c r="E1990" s="2256" t="s">
        <v>6125</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outlineLevel="1">
      <c r="A1991" s="2171" t="str">
        <f>IF(G1991&lt;&gt;0,1,"")</f>
        <v/>
      </c>
      <c r="B1991" s="2241" t="s">
        <v>5639</v>
      </c>
      <c r="C1991" s="2257"/>
      <c r="D1991" s="2141" t="s">
        <v>5629</v>
      </c>
      <c r="E1991" s="2183" t="s">
        <v>5640</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outlineLevel="1">
      <c r="A1992" s="2171" t="str">
        <f>IF(G1992&lt;&gt;0,1,"")</f>
        <v/>
      </c>
      <c r="B1992" s="2241" t="s">
        <v>880</v>
      </c>
      <c r="C1992" s="2247"/>
      <c r="D1992" s="2141">
        <v>0</v>
      </c>
      <c r="E1992" s="2183" t="s">
        <v>5795</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outlineLevel="1">
      <c r="A1993" s="2171" t="str">
        <f>IF(G1993&lt;&gt;0,1,"")</f>
        <v/>
      </c>
      <c r="B1993" s="2241" t="s">
        <v>289</v>
      </c>
      <c r="C1993" s="2257"/>
      <c r="D1993" s="2141">
        <v>0</v>
      </c>
      <c r="E1993" s="2183" t="s">
        <v>5708</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outlineLevel="1">
      <c r="A1995" s="2171" t="str">
        <f>IF(G1995&lt;&gt;0,1,"")</f>
        <v/>
      </c>
      <c r="B1995" s="2241"/>
      <c r="C1995" s="2247">
        <f>IF(G1995&gt;0,C1989+1,C1989)</f>
        <v>0</v>
      </c>
      <c r="D1995" s="2248"/>
      <c r="E1995" s="2365" t="s">
        <v>6238</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4.4" outlineLevel="1">
      <c r="A1996" s="2480" t="str">
        <f>A1995</f>
        <v/>
      </c>
      <c r="B1996" s="2241"/>
      <c r="C1996" s="2481"/>
      <c r="D1996" s="2482"/>
      <c r="E1996" s="2483" t="s">
        <v>6125</v>
      </c>
      <c r="F1996" s="2482"/>
      <c r="G1996" s="2484"/>
      <c r="H1996" s="2485"/>
      <c r="I1996" s="2485"/>
      <c r="J1996" s="2485"/>
      <c r="K1996" s="2485"/>
      <c r="L1996" s="2485"/>
      <c r="M1996" s="2485"/>
      <c r="N1996" s="2485"/>
      <c r="O1996" s="2485"/>
      <c r="P1996" s="2486"/>
      <c r="Q1996" s="2487"/>
      <c r="R1996" s="2255"/>
      <c r="S1996" s="2487"/>
    </row>
    <row r="1997" spans="1:255" s="2094" customFormat="1" outlineLevel="1">
      <c r="A1997" s="2171" t="str">
        <f>IF(G1997&lt;&gt;0,1,"")</f>
        <v/>
      </c>
      <c r="B1997" s="2241" t="s">
        <v>6239</v>
      </c>
      <c r="C1997" s="2257"/>
      <c r="D1997" s="2141" t="s">
        <v>5651</v>
      </c>
      <c r="E1997" s="2183" t="s">
        <v>5655</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outlineLevel="1">
      <c r="A1998" s="2171" t="str">
        <f t="shared" ref="A1998:A2012" si="381">IF(G1998&lt;&gt;0,1,"")</f>
        <v/>
      </c>
      <c r="B1998" s="2241" t="s">
        <v>880</v>
      </c>
      <c r="C1998" s="2257"/>
      <c r="D1998" s="2141">
        <v>0</v>
      </c>
      <c r="E1998" s="2183" t="s">
        <v>5795</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outlineLevel="1">
      <c r="A1999" s="2171" t="str">
        <f t="shared" si="381"/>
        <v/>
      </c>
      <c r="B1999" s="2241" t="s">
        <v>289</v>
      </c>
      <c r="C1999" s="2257"/>
      <c r="D1999" s="2141">
        <v>0</v>
      </c>
      <c r="E1999" s="2183" t="s">
        <v>5708</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outlineLevel="1">
      <c r="A2004" s="2171" t="str">
        <f t="shared" si="381"/>
        <v/>
      </c>
      <c r="B2004" s="2250" t="s">
        <v>6240</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outlineLevel="1">
      <c r="A2006" s="2171" t="str">
        <f t="shared" si="381"/>
        <v/>
      </c>
      <c r="B2006" s="2250" t="s">
        <v>6241</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outlineLevel="1">
      <c r="A2007" s="2171" t="str">
        <f t="shared" si="381"/>
        <v/>
      </c>
      <c r="B2007" s="2250" t="s">
        <v>6242</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outlineLevel="1">
      <c r="A2010" s="2171" t="str">
        <f t="shared" si="381"/>
        <v/>
      </c>
      <c r="B2010" s="2250" t="s">
        <v>6</v>
      </c>
      <c r="C2010" s="2257"/>
      <c r="D2010" s="2141">
        <v>0</v>
      </c>
      <c r="E2010" s="2183" t="s">
        <v>3566</v>
      </c>
      <c r="F2010" s="2141" t="s">
        <v>5802</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outlineLevel="1">
      <c r="A2011" s="2171" t="str">
        <f t="shared" si="381"/>
        <v/>
      </c>
      <c r="B2011" s="2250" t="s">
        <v>672</v>
      </c>
      <c r="C2011" s="2257"/>
      <c r="D2011" s="2141">
        <v>0</v>
      </c>
      <c r="E2011" s="2183" t="s">
        <v>5797</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outlineLevel="1">
      <c r="A2012" s="2171" t="str">
        <f t="shared" si="381"/>
        <v/>
      </c>
      <c r="B2012" s="2250" t="s">
        <v>1525</v>
      </c>
      <c r="C2012" s="2257"/>
      <c r="D2012" s="2141" t="s">
        <v>5567</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outlineLevel="1">
      <c r="A2013" s="2171" t="str">
        <f>IF(G2013&lt;&gt;0,1,"")</f>
        <v/>
      </c>
      <c r="B2013" s="2250"/>
      <c r="C2013" s="2247">
        <f>IF(G2013&gt;0,C1995+1,C1995)</f>
        <v>0</v>
      </c>
      <c r="D2013" s="2248"/>
      <c r="E2013" s="2249" t="s">
        <v>6255</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4.4" outlineLevel="1">
      <c r="A2014" s="2171" t="str">
        <f>A2013</f>
        <v/>
      </c>
      <c r="B2014" s="2250"/>
      <c r="C2014" s="2247"/>
      <c r="D2014" s="2248"/>
      <c r="E2014" s="2263" t="s">
        <v>6125</v>
      </c>
      <c r="F2014" s="2247"/>
      <c r="G2014" s="2440"/>
      <c r="H2014" s="2253"/>
      <c r="I2014" s="2253"/>
      <c r="J2014" s="2253"/>
      <c r="K2014" s="2253"/>
      <c r="L2014" s="2253"/>
      <c r="M2014" s="2253"/>
      <c r="N2014" s="2253"/>
      <c r="O2014" s="2253"/>
      <c r="P2014" s="2430"/>
      <c r="Q2014" s="2255"/>
      <c r="R2014" s="2255"/>
      <c r="S2014" s="2255"/>
    </row>
    <row r="2015" spans="1:19" s="2094" customFormat="1" outlineLevel="1">
      <c r="A2015" s="2171" t="str">
        <f t="shared" ref="A2015:A2026" si="386">IF(G2015&lt;&gt;0,1,"")</f>
        <v/>
      </c>
      <c r="B2015" s="2241" t="s">
        <v>697</v>
      </c>
      <c r="C2015" s="2257"/>
      <c r="D2015" s="2141">
        <v>0</v>
      </c>
      <c r="E2015" s="2183" t="s">
        <v>5083</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outlineLevel="1">
      <c r="A2017" s="2171" t="str">
        <f t="shared" si="386"/>
        <v/>
      </c>
      <c r="B2017" s="2346" t="s">
        <v>1477</v>
      </c>
      <c r="C2017" s="2257"/>
      <c r="D2017" s="2141">
        <v>0</v>
      </c>
      <c r="E2017" s="2183" t="s">
        <v>6338</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outlineLevel="1">
      <c r="A2018" s="2171" t="str">
        <f t="shared" si="386"/>
        <v/>
      </c>
      <c r="B2018" s="2346" t="s">
        <v>5695</v>
      </c>
      <c r="C2018" s="2257"/>
      <c r="D2018" s="2141">
        <v>0</v>
      </c>
      <c r="E2018" s="2183" t="s">
        <v>5696</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outlineLevel="1">
      <c r="A2019" s="2171" t="str">
        <f t="shared" si="386"/>
        <v/>
      </c>
      <c r="B2019" s="2346" t="s">
        <v>5701</v>
      </c>
      <c r="C2019" s="2257"/>
      <c r="D2019" s="2141">
        <v>0</v>
      </c>
      <c r="E2019" s="2183" t="s">
        <v>5702</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outlineLevel="1">
      <c r="A2020" s="2171" t="str">
        <f t="shared" si="386"/>
        <v/>
      </c>
      <c r="B2020" s="2346" t="s">
        <v>5703</v>
      </c>
      <c r="C2020" s="2257"/>
      <c r="D2020" s="2141">
        <v>0</v>
      </c>
      <c r="E2020" s="2183" t="s">
        <v>5704</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outlineLevel="1">
      <c r="A2021" s="2171" t="str">
        <f t="shared" si="386"/>
        <v/>
      </c>
      <c r="B2021" s="2346" t="s">
        <v>6256</v>
      </c>
      <c r="C2021" s="2257"/>
      <c r="D2021" s="2141"/>
      <c r="E2021" s="2183" t="s">
        <v>5694</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outlineLevel="1">
      <c r="A2024" s="2171" t="str">
        <f t="shared" si="386"/>
        <v/>
      </c>
      <c r="B2024" s="2241" t="s">
        <v>1565</v>
      </c>
      <c r="C2024" s="2257"/>
      <c r="D2024" s="2141" t="s">
        <v>5556</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outlineLevel="1">
      <c r="A2025" s="2171" t="str">
        <f t="shared" si="386"/>
        <v/>
      </c>
      <c r="B2025" s="2241" t="s">
        <v>1525</v>
      </c>
      <c r="C2025" s="2257"/>
      <c r="D2025" s="2141" t="s">
        <v>5567</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4.4" outlineLevel="1">
      <c r="A2027" s="2171" t="str">
        <f>A2026</f>
        <v/>
      </c>
      <c r="B2027" s="2250"/>
      <c r="C2027" s="2247"/>
      <c r="D2027" s="2248"/>
      <c r="E2027" s="2263" t="s">
        <v>6125</v>
      </c>
      <c r="F2027" s="2247"/>
      <c r="G2027" s="2440"/>
      <c r="H2027" s="2253"/>
      <c r="I2027" s="2253"/>
      <c r="J2027" s="2253"/>
      <c r="K2027" s="2253"/>
      <c r="L2027" s="2253"/>
      <c r="M2027" s="2253"/>
      <c r="N2027" s="2253"/>
      <c r="O2027" s="2253"/>
      <c r="P2027" s="2254"/>
      <c r="Q2027" s="2255"/>
      <c r="R2027" s="2255"/>
      <c r="S2027" s="2255"/>
    </row>
    <row r="2028" spans="1:19" s="2094" customFormat="1"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outlineLevel="1">
      <c r="A2029" s="2171" t="str">
        <f>IF(G2029&lt;&gt;0,1,"")</f>
        <v/>
      </c>
      <c r="B2029" s="2250" t="s">
        <v>86</v>
      </c>
      <c r="C2029" s="2257"/>
      <c r="D2029" s="2141">
        <v>0</v>
      </c>
      <c r="E2029" s="2183" t="s">
        <v>5793</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outlineLevel="1">
      <c r="A2032" s="2171" t="str">
        <f>IF(G2032&lt;&gt;0,1,"")</f>
        <v/>
      </c>
      <c r="B2032" s="2241"/>
      <c r="C2032" s="2247">
        <f>IF(G2032&gt;0,C2026+1,C2026)</f>
        <v>0</v>
      </c>
      <c r="D2032" s="2248"/>
      <c r="E2032" s="2249" t="s">
        <v>6257</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4.4" outlineLevel="1">
      <c r="A2033" s="2171" t="str">
        <f>A2032</f>
        <v/>
      </c>
      <c r="B2033" s="2241"/>
      <c r="C2033" s="2247"/>
      <c r="D2033" s="2248"/>
      <c r="E2033" s="2263" t="s">
        <v>6125</v>
      </c>
      <c r="F2033" s="2247"/>
      <c r="G2033" s="2439"/>
      <c r="H2033" s="2253"/>
      <c r="I2033" s="2253"/>
      <c r="J2033" s="2253"/>
      <c r="K2033" s="2253"/>
      <c r="L2033" s="2253"/>
      <c r="M2033" s="2253"/>
      <c r="N2033" s="2253"/>
      <c r="O2033" s="2253"/>
      <c r="P2033" s="2430"/>
      <c r="Q2033" s="2255"/>
      <c r="R2033" s="2255"/>
      <c r="S2033" s="2255"/>
    </row>
    <row r="2034" spans="1:19" s="2094" customFormat="1"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outlineLevel="1">
      <c r="A2036" s="2171" t="str">
        <f>IF(G2036&lt;&gt;0,1,"")</f>
        <v/>
      </c>
      <c r="B2036" s="2250" t="s">
        <v>1305</v>
      </c>
      <c r="C2036" s="2257"/>
      <c r="D2036" s="2141" t="s">
        <v>5724</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outlineLevel="1">
      <c r="A2037" s="2171" t="str">
        <f>IF(G2037&lt;&gt;0,1,"")</f>
        <v/>
      </c>
      <c r="B2037" s="2250" t="s">
        <v>2156</v>
      </c>
      <c r="C2037" s="2257"/>
      <c r="D2037" s="2141" t="s">
        <v>5727</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outlineLevel="1">
      <c r="A2041" s="2171" t="str">
        <f t="shared" si="391"/>
        <v/>
      </c>
      <c r="B2041" s="2250" t="s">
        <v>86</v>
      </c>
      <c r="C2041" s="2257"/>
      <c r="D2041" s="2141">
        <v>0</v>
      </c>
      <c r="E2041" s="2183" t="s">
        <v>5793</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outlineLevel="1">
      <c r="A2042" s="2171" t="str">
        <f t="shared" si="391"/>
        <v/>
      </c>
      <c r="B2042" s="2250" t="s">
        <v>1990</v>
      </c>
      <c r="C2042" s="2257"/>
      <c r="D2042" s="2141">
        <v>0</v>
      </c>
      <c r="E2042" s="2183" t="s">
        <v>5253</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outlineLevel="1">
      <c r="A2045" s="2171" t="str">
        <f t="shared" si="391"/>
        <v/>
      </c>
      <c r="B2045" s="2250" t="s">
        <v>5789</v>
      </c>
      <c r="C2045" s="2257"/>
      <c r="D2045" s="2141">
        <v>0</v>
      </c>
      <c r="E2045" s="2183" t="s">
        <v>5790</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outlineLevel="1">
      <c r="A2047" s="2171" t="str">
        <f t="shared" si="391"/>
        <v/>
      </c>
      <c r="B2047" s="2250" t="s">
        <v>6</v>
      </c>
      <c r="C2047" s="2257"/>
      <c r="D2047" s="2141">
        <v>0</v>
      </c>
      <c r="E2047" s="2183" t="s">
        <v>3566</v>
      </c>
      <c r="F2047" s="2141" t="s">
        <v>5802</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outlineLevel="1">
      <c r="A2048" s="2171" t="str">
        <f t="shared" si="391"/>
        <v/>
      </c>
      <c r="B2048" s="2250" t="s">
        <v>672</v>
      </c>
      <c r="C2048" s="2257"/>
      <c r="D2048" s="2141">
        <v>0</v>
      </c>
      <c r="E2048" s="2183" t="s">
        <v>5797</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outlineLevel="1">
      <c r="A2049" s="2171" t="str">
        <f>IF(G2049&lt;&gt;0,1,"")</f>
        <v/>
      </c>
      <c r="B2049" s="2250" t="s">
        <v>2006</v>
      </c>
      <c r="C2049" s="2257"/>
      <c r="D2049" s="2141" t="s">
        <v>5568</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outlineLevel="1">
      <c r="A2050" s="2171" t="str">
        <f t="shared" si="391"/>
        <v/>
      </c>
      <c r="B2050" s="2250" t="s">
        <v>247</v>
      </c>
      <c r="C2050" s="2257"/>
      <c r="D2050" s="2141" t="s">
        <v>5569</v>
      </c>
      <c r="E2050" s="2183" t="s">
        <v>5570</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outlineLevel="1">
      <c r="A2051" s="2171">
        <f>A1899</f>
        <v>0</v>
      </c>
      <c r="B2051" s="2346"/>
      <c r="C2051" s="2521" t="s">
        <v>6123</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outlineLevel="1">
      <c r="A2054" s="2171">
        <f>A2053</f>
        <v>0</v>
      </c>
      <c r="B2054" s="2250" t="s">
        <v>6104</v>
      </c>
      <c r="C2054" s="2637" t="s">
        <v>1708</v>
      </c>
      <c r="D2054" s="2638" t="s">
        <v>2597</v>
      </c>
      <c r="E2054" s="2640" t="s">
        <v>2598</v>
      </c>
      <c r="F2054" s="2637" t="s">
        <v>2593</v>
      </c>
      <c r="G2054" s="2098" t="s">
        <v>6105</v>
      </c>
      <c r="H2054" s="2101" t="s">
        <v>6106</v>
      </c>
      <c r="I2054" s="2608"/>
      <c r="J2054" s="2608"/>
      <c r="K2054" s="2609"/>
      <c r="L2054" s="2101" t="s">
        <v>6107</v>
      </c>
      <c r="M2054" s="2608"/>
      <c r="N2054" s="2608"/>
      <c r="O2054" s="2609"/>
      <c r="P2054" s="2522" t="s">
        <v>2599</v>
      </c>
      <c r="Q2054" s="2255"/>
      <c r="R2054" s="2255"/>
      <c r="S2054" s="2255"/>
    </row>
    <row r="2055" spans="1:19" s="2094" customFormat="1" outlineLevel="1">
      <c r="A2055" s="2171">
        <f>A2054</f>
        <v>0</v>
      </c>
      <c r="B2055" s="2250"/>
      <c r="C2055" s="2637"/>
      <c r="D2055" s="2639"/>
      <c r="E2055" s="2641"/>
      <c r="F2055" s="2637"/>
      <c r="G2055" s="2100" t="s">
        <v>2286</v>
      </c>
      <c r="H2055" s="2101" t="s">
        <v>6108</v>
      </c>
      <c r="I2055" s="2101" t="s">
        <v>6109</v>
      </c>
      <c r="J2055" s="2101" t="s">
        <v>6110</v>
      </c>
      <c r="K2055" s="2101" t="s">
        <v>6111</v>
      </c>
      <c r="L2055" s="2101" t="s">
        <v>6108</v>
      </c>
      <c r="M2055" s="2101" t="s">
        <v>6109</v>
      </c>
      <c r="N2055" s="2101" t="s">
        <v>6110</v>
      </c>
      <c r="O2055" s="2101" t="s">
        <v>6111</v>
      </c>
      <c r="P2055" s="2522"/>
      <c r="Q2055" s="2255"/>
      <c r="R2055" s="2255"/>
      <c r="S2055" s="2255"/>
    </row>
    <row r="2056" spans="1:19" s="2094" customFormat="1"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outlineLevel="1">
      <c r="A2057" s="2171" t="str">
        <f>IF(G2057&lt;&gt;0,1,"")</f>
        <v/>
      </c>
      <c r="B2057" s="2241" t="str">
        <f>IF($F$8=15,"tr400","tr4001")</f>
        <v>tr4001</v>
      </c>
      <c r="C2057" s="2257">
        <f>IF(G2057&gt;0,1,0)</f>
        <v>0</v>
      </c>
      <c r="D2057" s="2141" t="s">
        <v>5588</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outlineLevel="1">
      <c r="A2058" s="2171" t="str">
        <f>IF(G2058&lt;&gt;0,1,"")</f>
        <v/>
      </c>
      <c r="B2058" s="2107" t="str">
        <f>"FCO100-"&amp;$F$8</f>
        <v>FCO100-22</v>
      </c>
      <c r="C2058" s="2257">
        <f>IF(G2058&gt;0,C2057+1,C2057)</f>
        <v>0</v>
      </c>
      <c r="D2058" s="2141" t="s">
        <v>5594</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outlineLevel="1">
      <c r="A2059" s="2519" t="str">
        <f>IF(G2059&lt;&gt;0,1,"")</f>
        <v/>
      </c>
      <c r="B2059" s="2525" t="str">
        <f>"FCO100-"&amp;$F$8</f>
        <v>FCO100-22</v>
      </c>
      <c r="C2059" s="2526">
        <f>IF(G2059&gt;0,C2058+1,C2058)</f>
        <v>0</v>
      </c>
      <c r="D2059" s="2527" t="s">
        <v>5594</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6227</v>
      </c>
      <c r="Q2059" s="2427"/>
      <c r="R2059" s="2427"/>
      <c r="S2059" s="2427"/>
    </row>
    <row r="2060" spans="1:19" s="2094" customFormat="1"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outlineLevel="1">
      <c r="A2061" s="2171" t="str">
        <f t="shared" si="400"/>
        <v/>
      </c>
      <c r="B2061" s="2250" t="str">
        <f>"LA"&amp;$F$6</f>
        <v>LA18</v>
      </c>
      <c r="C2061" s="2257">
        <f t="shared" ref="C2061:C2068" si="401">IF(G2061&gt;0,C2060+1,C2060)</f>
        <v>0</v>
      </c>
      <c r="D2061" s="2141" t="s">
        <v>5598</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outlineLevel="1">
      <c r="A2062" s="2519" t="str">
        <f>IF(G2062&lt;&gt;0,1,"")</f>
        <v/>
      </c>
      <c r="B2062" s="2531" t="str">
        <f>"LA"&amp;$F$6</f>
        <v>LA18</v>
      </c>
      <c r="C2062" s="2526">
        <f>IF(G2062&gt;0,C2061+1,C2061)</f>
        <v>0</v>
      </c>
      <c r="D2062" s="2527" t="s">
        <v>5598</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6227</v>
      </c>
      <c r="Q2062" s="2427"/>
      <c r="R2062" s="2427"/>
      <c r="S2062" s="2427"/>
    </row>
    <row r="2063" spans="1:19" s="2094" customFormat="1" outlineLevel="1">
      <c r="A2063" s="2171" t="str">
        <f t="shared" si="400"/>
        <v/>
      </c>
      <c r="B2063" s="2346" t="s">
        <v>1462</v>
      </c>
      <c r="C2063" s="2257">
        <f>IF(G2063&gt;0,C2061+1,C2061)</f>
        <v>0</v>
      </c>
      <c r="D2063" s="2141" t="s">
        <v>5684</v>
      </c>
      <c r="E2063" s="2183" t="s">
        <v>5685</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outlineLevel="1">
      <c r="A2064" s="2171" t="str">
        <f t="shared" si="400"/>
        <v/>
      </c>
      <c r="B2064" s="2346" t="s">
        <v>953</v>
      </c>
      <c r="C2064" s="2257">
        <f t="shared" si="401"/>
        <v>0</v>
      </c>
      <c r="D2064" s="2141" t="s">
        <v>5681</v>
      </c>
      <c r="E2064" s="2183" t="s">
        <v>5682</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outlineLevel="1">
      <c r="A2065" s="2171" t="str">
        <f t="shared" si="400"/>
        <v/>
      </c>
      <c r="B2065" s="2346" t="s">
        <v>1461</v>
      </c>
      <c r="C2065" s="2257">
        <f t="shared" si="401"/>
        <v>0</v>
      </c>
      <c r="D2065" s="2141" t="s">
        <v>5617</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outlineLevel="1">
      <c r="A2069" s="2171">
        <f>IF(SUM(L2069:O2069)&gt;0,1,)</f>
        <v>0</v>
      </c>
      <c r="B2069" s="2250"/>
      <c r="C2069" s="2382"/>
      <c r="D2069" s="2383"/>
      <c r="E2069" s="2384"/>
      <c r="F2069" s="2382"/>
      <c r="G2069" s="2434"/>
      <c r="H2069" s="2382"/>
      <c r="I2069" s="2382"/>
      <c r="J2069" s="2106" t="s">
        <v>6113</v>
      </c>
      <c r="K2069" s="2382"/>
      <c r="L2069" s="2384">
        <f>SUM(L2057:L2068)</f>
        <v>0</v>
      </c>
      <c r="M2069" s="2384">
        <f>SUM(M2057:M2068)</f>
        <v>0</v>
      </c>
      <c r="N2069" s="2384">
        <f>SUM(N2057:N2068)</f>
        <v>0</v>
      </c>
      <c r="O2069" s="2384">
        <f>SUM(O2057:O2068)</f>
        <v>0</v>
      </c>
      <c r="P2069" s="2435"/>
      <c r="Q2069" s="2255"/>
      <c r="R2069" s="2255"/>
      <c r="S2069" s="2255"/>
    </row>
    <row r="2070" spans="1:19" s="2094" customFormat="1"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outlineLevel="1">
      <c r="A2071" s="2171" t="str">
        <f t="shared" ref="A2071:A2089" si="402">IF(G2071&lt;&gt;0,1,"")</f>
        <v/>
      </c>
      <c r="B2071" s="2390"/>
      <c r="C2071" s="2391">
        <f>IF(G2071&gt;0,1,0)</f>
        <v>0</v>
      </c>
      <c r="D2071" s="2141"/>
      <c r="E2071" s="2392" t="s">
        <v>6114</v>
      </c>
      <c r="F2071" s="2393" t="s">
        <v>2277</v>
      </c>
      <c r="G2071" s="2450"/>
      <c r="H2071" s="2393"/>
      <c r="I2071" s="2393"/>
      <c r="J2071" s="2393"/>
      <c r="K2071" s="2393"/>
      <c r="L2071" s="2394"/>
      <c r="M2071" s="2394"/>
      <c r="N2071" s="2394"/>
      <c r="O2071" s="2395"/>
      <c r="P2071" s="2378"/>
      <c r="Q2071" s="2255"/>
      <c r="R2071" s="2255"/>
      <c r="S2071" s="2255"/>
    </row>
    <row r="2072" spans="1:19" s="2094" customFormat="1"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outlineLevel="1">
      <c r="A2075" s="2171" t="str">
        <f t="shared" si="402"/>
        <v/>
      </c>
      <c r="B2075" s="2390"/>
      <c r="C2075" s="2391">
        <f>IF(G2075&gt;0,1,0)</f>
        <v>0</v>
      </c>
      <c r="D2075" s="2141"/>
      <c r="E2075" s="2392" t="s">
        <v>6209</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outlineLevel="1">
      <c r="A2080" s="2171" t="str">
        <f t="shared" si="402"/>
        <v/>
      </c>
      <c r="B2080" s="2346" t="s">
        <v>636</v>
      </c>
      <c r="C2080" s="2396"/>
      <c r="D2080" s="2141" t="s">
        <v>5043</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outlineLevel="1">
      <c r="A2081" s="2171" t="str">
        <f t="shared" si="402"/>
        <v/>
      </c>
      <c r="B2081" s="2346" t="s">
        <v>566</v>
      </c>
      <c r="C2081" s="2396"/>
      <c r="D2081" s="2141"/>
      <c r="E2081" s="2397" t="s">
        <v>5068</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outlineLevel="1">
      <c r="A2082" s="2171" t="str">
        <f t="shared" si="402"/>
        <v/>
      </c>
      <c r="B2082" s="2346" t="s">
        <v>639</v>
      </c>
      <c r="C2082" s="2396"/>
      <c r="D2082" s="2141" t="s">
        <v>1747</v>
      </c>
      <c r="E2082" s="2397" t="s">
        <v>5320</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outlineLevel="1">
      <c r="A2083" s="2171" t="str">
        <f t="shared" si="402"/>
        <v/>
      </c>
      <c r="B2083" s="2346" t="s">
        <v>21</v>
      </c>
      <c r="C2083" s="2396"/>
      <c r="D2083" s="2141" t="s">
        <v>5321</v>
      </c>
      <c r="E2083" s="2397" t="s">
        <v>5322</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outlineLevel="1">
      <c r="A2085" s="2171" t="str">
        <f t="shared" si="402"/>
        <v/>
      </c>
      <c r="B2085" s="2346" t="s">
        <v>636</v>
      </c>
      <c r="C2085" s="2396"/>
      <c r="D2085" s="2141" t="s">
        <v>5043</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outlineLevel="1">
      <c r="A2086" s="2171" t="str">
        <f t="shared" si="402"/>
        <v/>
      </c>
      <c r="B2086" s="2346" t="s">
        <v>566</v>
      </c>
      <c r="C2086" s="2396"/>
      <c r="D2086" s="2141"/>
      <c r="E2086" s="2397" t="s">
        <v>5068</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outlineLevel="1">
      <c r="A2087" s="2171" t="str">
        <f t="shared" si="402"/>
        <v/>
      </c>
      <c r="B2087" s="2346" t="s">
        <v>639</v>
      </c>
      <c r="C2087" s="2396"/>
      <c r="D2087" s="2141" t="s">
        <v>1747</v>
      </c>
      <c r="E2087" s="2397" t="s">
        <v>5320</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outlineLevel="1">
      <c r="A2088" s="2171" t="str">
        <f t="shared" si="402"/>
        <v/>
      </c>
      <c r="B2088" s="2346" t="s">
        <v>21</v>
      </c>
      <c r="C2088" s="2396"/>
      <c r="D2088" s="2141" t="s">
        <v>5321</v>
      </c>
      <c r="E2088" s="2397" t="s">
        <v>5322</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4.4" outlineLevel="1">
      <c r="A2090" s="2171" t="str">
        <f>A2089</f>
        <v/>
      </c>
      <c r="B2090" s="2250"/>
      <c r="C2090" s="2247"/>
      <c r="D2090" s="2403"/>
      <c r="E2090" s="2256" t="s">
        <v>6125</v>
      </c>
      <c r="F2090" s="2257"/>
      <c r="G2090" s="2439"/>
      <c r="H2090" s="2404"/>
      <c r="I2090" s="2404"/>
      <c r="J2090" s="2404"/>
      <c r="K2090" s="2404"/>
      <c r="L2090" s="2404"/>
      <c r="M2090" s="2404"/>
      <c r="N2090" s="2404"/>
      <c r="O2090" s="2404"/>
      <c r="P2090" s="2438"/>
      <c r="Q2090" s="2255"/>
      <c r="R2090" s="2255"/>
      <c r="S2090" s="2255"/>
    </row>
    <row r="2091" spans="1:19" s="2094" customFormat="1" outlineLevel="1">
      <c r="A2091" s="2171" t="str">
        <f t="shared" ref="A2091:A2107" si="403">IF(G2091&lt;&gt;0,1,"")</f>
        <v/>
      </c>
      <c r="B2091" s="2241" t="s">
        <v>5837</v>
      </c>
      <c r="C2091" s="2247"/>
      <c r="D2091" s="2141">
        <v>0</v>
      </c>
      <c r="E2091" s="2183" t="s">
        <v>5838</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outlineLevel="1">
      <c r="A2092" s="2171" t="str">
        <f t="shared" si="403"/>
        <v/>
      </c>
      <c r="B2092" s="2241" t="s">
        <v>5839</v>
      </c>
      <c r="C2092" s="2247"/>
      <c r="D2092" s="2141">
        <v>0</v>
      </c>
      <c r="E2092" s="2183" t="s">
        <v>5840</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outlineLevel="1">
      <c r="A2093" s="2171" t="str">
        <f t="shared" si="403"/>
        <v/>
      </c>
      <c r="B2093" s="2241" t="s">
        <v>5843</v>
      </c>
      <c r="C2093" s="2247"/>
      <c r="D2093" s="2141">
        <v>0</v>
      </c>
      <c r="E2093" s="2183" t="s">
        <v>5844</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outlineLevel="1">
      <c r="A2094" s="2171" t="str">
        <f t="shared" si="403"/>
        <v/>
      </c>
      <c r="B2094" s="2241" t="s">
        <v>5845</v>
      </c>
      <c r="C2094" s="2247"/>
      <c r="D2094" s="2141">
        <v>0</v>
      </c>
      <c r="E2094" s="2183" t="s">
        <v>5846</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outlineLevel="1">
      <c r="A2095" s="2171" t="str">
        <f t="shared" si="403"/>
        <v/>
      </c>
      <c r="B2095" s="2241" t="s">
        <v>5847</v>
      </c>
      <c r="C2095" s="2247"/>
      <c r="D2095" s="2141">
        <v>0</v>
      </c>
      <c r="E2095" s="2183" t="s">
        <v>5848</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outlineLevel="1">
      <c r="A2096" s="2171" t="str">
        <f t="shared" si="403"/>
        <v/>
      </c>
      <c r="B2096" s="2241" t="s">
        <v>5851</v>
      </c>
      <c r="C2096" s="2247"/>
      <c r="D2096" s="2141">
        <v>0</v>
      </c>
      <c r="E2096" s="2183" t="s">
        <v>5852</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outlineLevel="1">
      <c r="A2097" s="2171" t="str">
        <f t="shared" si="403"/>
        <v/>
      </c>
      <c r="B2097" s="2241" t="s">
        <v>5853</v>
      </c>
      <c r="C2097" s="2247"/>
      <c r="D2097" s="2141">
        <v>0</v>
      </c>
      <c r="E2097" s="2183" t="s">
        <v>5854</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outlineLevel="1">
      <c r="A2098" s="2171" t="str">
        <f t="shared" si="403"/>
        <v/>
      </c>
      <c r="B2098" s="2241" t="s">
        <v>5857</v>
      </c>
      <c r="C2098" s="2247"/>
      <c r="D2098" s="2141">
        <v>0</v>
      </c>
      <c r="E2098" s="2183" t="s">
        <v>5858</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outlineLevel="1">
      <c r="A2099" s="2171" t="str">
        <f t="shared" si="403"/>
        <v/>
      </c>
      <c r="B2099" s="2241" t="s">
        <v>5859</v>
      </c>
      <c r="C2099" s="2247"/>
      <c r="D2099" s="2141">
        <v>0</v>
      </c>
      <c r="E2099" s="2183" t="s">
        <v>5860</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outlineLevel="1">
      <c r="A2100" s="2171" t="str">
        <f t="shared" si="403"/>
        <v/>
      </c>
      <c r="B2100" s="2241" t="s">
        <v>5863</v>
      </c>
      <c r="C2100" s="2247"/>
      <c r="D2100" s="2141">
        <v>0</v>
      </c>
      <c r="E2100" s="2183" t="s">
        <v>5864</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outlineLevel="1">
      <c r="A2101" s="2171" t="str">
        <f t="shared" si="403"/>
        <v/>
      </c>
      <c r="B2101" s="2241" t="s">
        <v>4835</v>
      </c>
      <c r="C2101" s="2247"/>
      <c r="D2101" s="2141">
        <v>0</v>
      </c>
      <c r="E2101" s="2183" t="s">
        <v>5061</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outlineLevel="1">
      <c r="A2102" s="2171" t="str">
        <f t="shared" si="403"/>
        <v/>
      </c>
      <c r="B2102" s="2241" t="s">
        <v>5056</v>
      </c>
      <c r="C2102" s="2247"/>
      <c r="D2102" s="2141">
        <v>0</v>
      </c>
      <c r="E2102" s="2183" t="s">
        <v>5057</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outlineLevel="1">
      <c r="A2108" s="2171" t="str">
        <f>IF(G2108&lt;&gt;0,1,"")</f>
        <v/>
      </c>
      <c r="B2108" s="2110" t="s">
        <v>5421</v>
      </c>
      <c r="C2108" s="2247"/>
      <c r="D2108" s="2141" t="s">
        <v>5422</v>
      </c>
      <c r="E2108" s="2183" t="s">
        <v>5423</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outlineLevel="1">
      <c r="A2109" s="2171" t="str">
        <f>IF(G2109&lt;&gt;0,1,"")</f>
        <v/>
      </c>
      <c r="B2109" s="2250"/>
      <c r="C2109" s="2247">
        <f>IF(G2109&gt;0,C2089+1,C2085)</f>
        <v>0</v>
      </c>
      <c r="D2109" s="2248"/>
      <c r="E2109" s="2406" t="s">
        <v>6229</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4.4" outlineLevel="1">
      <c r="A2110" s="2171" t="str">
        <f>A2109</f>
        <v/>
      </c>
      <c r="B2110" s="2250"/>
      <c r="C2110" s="2247"/>
      <c r="D2110" s="2248"/>
      <c r="E2110" s="2256" t="s">
        <v>6125</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outlineLevel="1">
      <c r="A2111" s="2171" t="str">
        <f t="shared" ref="A2111:A2117" si="410">IF(G2111&lt;&gt;0,1,"")</f>
        <v/>
      </c>
      <c r="B2111" s="2122" t="s">
        <v>5147</v>
      </c>
      <c r="C2111" s="2247"/>
      <c r="D2111" s="2141">
        <v>0</v>
      </c>
      <c r="E2111" s="2183" t="s">
        <v>5148</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outlineLevel="1">
      <c r="A2112" s="2171" t="str">
        <f t="shared" si="410"/>
        <v/>
      </c>
      <c r="B2112" s="2122" t="s">
        <v>5154</v>
      </c>
      <c r="C2112" s="2247"/>
      <c r="D2112" s="2141">
        <v>0</v>
      </c>
      <c r="E2112" s="2183" t="s">
        <v>5155</v>
      </c>
      <c r="F2112" s="2141" t="s">
        <v>5156</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outlineLevel="1">
      <c r="A2113" s="2171" t="str">
        <f t="shared" si="410"/>
        <v/>
      </c>
      <c r="B2113" s="2119" t="s">
        <v>488</v>
      </c>
      <c r="C2113" s="2247"/>
      <c r="D2113" s="2141">
        <v>0</v>
      </c>
      <c r="E2113" s="2183" t="s">
        <v>5074</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outlineLevel="1">
      <c r="A2114" s="2171" t="str">
        <f t="shared" si="410"/>
        <v/>
      </c>
      <c r="B2114" s="2250" t="s">
        <v>6252</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outlineLevel="1">
      <c r="A2115" s="2171" t="str">
        <f t="shared" si="410"/>
        <v/>
      </c>
      <c r="B2115" s="2250" t="s">
        <v>6253</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outlineLevel="1">
      <c r="A2116" s="2171" t="str">
        <f t="shared" si="410"/>
        <v/>
      </c>
      <c r="B2116" s="2110" t="s">
        <v>6233</v>
      </c>
      <c r="C2116" s="2247"/>
      <c r="D2116" s="2141" t="s">
        <v>5144</v>
      </c>
      <c r="E2116" s="2183" t="s">
        <v>5373</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outlineLevel="1">
      <c r="A2117" s="2171" t="str">
        <f t="shared" si="410"/>
        <v/>
      </c>
      <c r="B2117" s="2250"/>
      <c r="C2117" s="2247">
        <f>IF(G2117&gt;0,C2089+2,C2089)</f>
        <v>0</v>
      </c>
      <c r="D2117" s="2248"/>
      <c r="E2117" s="2406" t="s">
        <v>6254</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4.4" outlineLevel="1">
      <c r="A2118" s="2171" t="str">
        <f>A2117</f>
        <v/>
      </c>
      <c r="B2118" s="2250"/>
      <c r="C2118" s="2247"/>
      <c r="D2118" s="2248"/>
      <c r="E2118" s="2256" t="s">
        <v>6125</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outlineLevel="1">
      <c r="A2123" s="2171" t="str">
        <f t="shared" si="413"/>
        <v/>
      </c>
      <c r="B2123" s="2110" t="s">
        <v>5421</v>
      </c>
      <c r="C2123" s="2247"/>
      <c r="D2123" s="2141" t="s">
        <v>5422</v>
      </c>
      <c r="E2123" s="2183" t="s">
        <v>5423</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4.4" outlineLevel="1">
      <c r="A2125" s="2171" t="str">
        <f>+A2124</f>
        <v/>
      </c>
      <c r="B2125" s="2407"/>
      <c r="C2125" s="2247"/>
      <c r="D2125" s="2248"/>
      <c r="E2125" s="2256" t="s">
        <v>6125</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outlineLevel="1">
      <c r="A2127" s="2171" t="str">
        <f t="shared" si="414"/>
        <v/>
      </c>
      <c r="B2127" s="2241" t="s">
        <v>1508</v>
      </c>
      <c r="C2127" s="2247"/>
      <c r="D2127" s="2141">
        <v>0</v>
      </c>
      <c r="E2127" s="2183" t="s">
        <v>5159</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outlineLevel="1">
      <c r="A2130" s="2171" t="str">
        <f t="shared" si="414"/>
        <v/>
      </c>
      <c r="B2130" s="2250" t="s">
        <v>6200</v>
      </c>
      <c r="C2130" s="2247"/>
      <c r="D2130" s="2141" t="s">
        <v>5721</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outlineLevel="1">
      <c r="A2132" s="2171" t="str">
        <f t="shared" si="414"/>
        <v/>
      </c>
      <c r="B2132" s="2241" t="s">
        <v>525</v>
      </c>
      <c r="C2132" s="2408"/>
      <c r="D2132" s="2141">
        <v>0</v>
      </c>
      <c r="E2132" s="2183" t="s">
        <v>5248</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outlineLevel="1">
      <c r="A2133" s="2171" t="str">
        <f t="shared" si="414"/>
        <v/>
      </c>
      <c r="B2133" s="2241" t="s">
        <v>1585</v>
      </c>
      <c r="C2133" s="2408"/>
      <c r="D2133" s="2141">
        <v>0</v>
      </c>
      <c r="E2133" s="2183" t="s">
        <v>5709</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outlineLevel="1">
      <c r="A2134" s="2171" t="str">
        <f t="shared" si="414"/>
        <v/>
      </c>
      <c r="B2134" s="2241" t="s">
        <v>5160</v>
      </c>
      <c r="C2134" s="2408"/>
      <c r="D2134" s="2141">
        <v>0</v>
      </c>
      <c r="E2134" s="2183" t="s">
        <v>5161</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outlineLevel="1">
      <c r="A2135" s="2171" t="str">
        <f t="shared" si="414"/>
        <v/>
      </c>
      <c r="B2135" s="2241" t="s">
        <v>5164</v>
      </c>
      <c r="C2135" s="2408"/>
      <c r="D2135" s="2141" t="s">
        <v>5165</v>
      </c>
      <c r="E2135" s="2183" t="s">
        <v>5166</v>
      </c>
      <c r="F2135" s="2141" t="s">
        <v>5167</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outlineLevel="1">
      <c r="A2137" s="2171" t="str">
        <f>IF(G2137&lt;&gt;0,1,"")</f>
        <v/>
      </c>
      <c r="B2137" s="2241" t="s">
        <v>5171</v>
      </c>
      <c r="C2137" s="2408"/>
      <c r="D2137" s="2141">
        <v>0</v>
      </c>
      <c r="E2137" s="2183" t="s">
        <v>5172</v>
      </c>
      <c r="F2137" s="2141" t="s">
        <v>5170</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outlineLevel="1">
      <c r="A2139" s="2171" t="str">
        <f t="shared" ref="A2139:A2144" si="415">IF(G2139&lt;&gt;0,1,"")</f>
        <v/>
      </c>
      <c r="B2139" s="2241" t="s">
        <v>5175</v>
      </c>
      <c r="C2139" s="2408"/>
      <c r="D2139" s="2141">
        <v>0</v>
      </c>
      <c r="E2139" s="2183" t="s">
        <v>5176</v>
      </c>
      <c r="F2139" s="2141" t="s">
        <v>5170</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outlineLevel="1">
      <c r="A2140" s="2171" t="str">
        <f t="shared" si="415"/>
        <v/>
      </c>
      <c r="B2140" s="2241" t="s">
        <v>6226</v>
      </c>
      <c r="C2140" s="2408"/>
      <c r="D2140" s="2141">
        <v>0</v>
      </c>
      <c r="E2140" s="2183" t="s">
        <v>5047</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outlineLevel="1">
      <c r="A2141" s="2171" t="str">
        <f t="shared" si="415"/>
        <v/>
      </c>
      <c r="B2141" s="2241" t="s">
        <v>5177</v>
      </c>
      <c r="C2141" s="2408"/>
      <c r="D2141" s="2141">
        <v>0</v>
      </c>
      <c r="E2141" s="2183" t="s">
        <v>5178</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outlineLevel="1">
      <c r="A2142" s="2171" t="str">
        <f t="shared" si="415"/>
        <v/>
      </c>
      <c r="B2142" s="2241" t="s">
        <v>5179</v>
      </c>
      <c r="C2142" s="2408"/>
      <c r="D2142" s="2141">
        <v>0</v>
      </c>
      <c r="E2142" s="2183" t="s">
        <v>5180</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outlineLevel="1">
      <c r="A2143" s="2171" t="str">
        <f t="shared" si="415"/>
        <v/>
      </c>
      <c r="B2143" s="2241" t="s">
        <v>794</v>
      </c>
      <c r="C2143" s="2408"/>
      <c r="D2143" s="2141" t="s">
        <v>5332</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outlineLevel="1">
      <c r="A2144" s="2171" t="str">
        <f t="shared" si="415"/>
        <v/>
      </c>
      <c r="B2144" s="2241" t="s">
        <v>798</v>
      </c>
      <c r="C2144" s="2408"/>
      <c r="D2144" s="2141" t="s">
        <v>5321</v>
      </c>
      <c r="E2144" s="2183" t="s">
        <v>5333</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outlineLevel="1">
      <c r="A2145" s="2171" t="str">
        <f>IF(G2145&lt;&gt;0,1,"")</f>
        <v/>
      </c>
      <c r="B2145" s="2241" t="s">
        <v>902</v>
      </c>
      <c r="C2145" s="2247"/>
      <c r="D2145" s="2141" t="s">
        <v>5347</v>
      </c>
      <c r="E2145" s="2183" t="s">
        <v>5348</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outlineLevel="1">
      <c r="A2146" s="2171" t="str">
        <f>IF(G2146&lt;&gt;0,1,"")</f>
        <v/>
      </c>
      <c r="B2146" s="2241" t="s">
        <v>1437</v>
      </c>
      <c r="C2146" s="2247"/>
      <c r="D2146" s="2141" t="s">
        <v>5342</v>
      </c>
      <c r="E2146" s="2183" t="s">
        <v>5343</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outlineLevel="1">
      <c r="A2147" s="2171" t="str">
        <f>IF(G2147&lt;&gt;0,1,"")</f>
        <v/>
      </c>
      <c r="B2147" s="2241"/>
      <c r="C2147" s="2247">
        <f>IF(G2147&gt;0,C2124+1,C2124)</f>
        <v>0</v>
      </c>
      <c r="D2147" s="2248"/>
      <c r="E2147" s="2365" t="s">
        <v>6201</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4.4" outlineLevel="1">
      <c r="A2148" s="2171" t="str">
        <f>A2147</f>
        <v/>
      </c>
      <c r="B2148" s="2241"/>
      <c r="C2148" s="2247"/>
      <c r="D2148" s="2248"/>
      <c r="E2148" s="2256" t="s">
        <v>6125</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outlineLevel="1">
      <c r="A2149" s="2171" t="str">
        <f>IF(G2149&lt;&gt;0,1,"")</f>
        <v/>
      </c>
      <c r="B2149" s="2241" t="s">
        <v>5639</v>
      </c>
      <c r="C2149" s="2257"/>
      <c r="D2149" s="2141" t="s">
        <v>5629</v>
      </c>
      <c r="E2149" s="2183" t="s">
        <v>5640</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outlineLevel="1">
      <c r="A2150" s="2171" t="str">
        <f>IF(G2150&lt;&gt;0,1,"")</f>
        <v/>
      </c>
      <c r="B2150" s="2241" t="s">
        <v>880</v>
      </c>
      <c r="C2150" s="2247"/>
      <c r="D2150" s="2141">
        <v>0</v>
      </c>
      <c r="E2150" s="2183" t="s">
        <v>5795</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outlineLevel="1">
      <c r="A2151" s="2171" t="str">
        <f>IF(G2151&lt;&gt;0,1,"")</f>
        <v/>
      </c>
      <c r="B2151" s="2241" t="s">
        <v>289</v>
      </c>
      <c r="C2151" s="2257"/>
      <c r="D2151" s="2141">
        <v>0</v>
      </c>
      <c r="E2151" s="2183" t="s">
        <v>5708</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outlineLevel="1">
      <c r="A2153" s="2171" t="str">
        <f>IF(G2153&lt;&gt;0,1,"")</f>
        <v/>
      </c>
      <c r="B2153" s="2241"/>
      <c r="C2153" s="2247">
        <f>IF(G2153&gt;0,C2147+1,C2147)</f>
        <v>0</v>
      </c>
      <c r="D2153" s="2248"/>
      <c r="E2153" s="2365" t="s">
        <v>6238</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4.4" outlineLevel="1">
      <c r="A2154" s="2480" t="str">
        <f>A2153</f>
        <v/>
      </c>
      <c r="B2154" s="2241"/>
      <c r="C2154" s="2481"/>
      <c r="D2154" s="2482"/>
      <c r="E2154" s="2483" t="s">
        <v>6125</v>
      </c>
      <c r="F2154" s="2482"/>
      <c r="G2154" s="2484"/>
      <c r="H2154" s="2485"/>
      <c r="I2154" s="2485"/>
      <c r="J2154" s="2485"/>
      <c r="K2154" s="2485"/>
      <c r="L2154" s="2485"/>
      <c r="M2154" s="2485"/>
      <c r="N2154" s="2485"/>
      <c r="O2154" s="2485"/>
      <c r="P2154" s="2486"/>
      <c r="Q2154" s="2487"/>
      <c r="R2154" s="2255"/>
      <c r="S2154" s="2487"/>
    </row>
    <row r="2155" spans="1:255" s="2094" customFormat="1" outlineLevel="1">
      <c r="A2155" s="2171" t="str">
        <f t="shared" ref="A2155:A2170" si="420">IF(G2155&lt;&gt;0,1,"")</f>
        <v/>
      </c>
      <c r="B2155" s="2241" t="s">
        <v>6239</v>
      </c>
      <c r="C2155" s="2257"/>
      <c r="D2155" s="2141" t="s">
        <v>5651</v>
      </c>
      <c r="E2155" s="2183" t="s">
        <v>5655</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outlineLevel="1">
      <c r="A2156" s="2171" t="str">
        <f t="shared" si="420"/>
        <v/>
      </c>
      <c r="B2156" s="2241" t="s">
        <v>880</v>
      </c>
      <c r="C2156" s="2257"/>
      <c r="D2156" s="2141">
        <v>0</v>
      </c>
      <c r="E2156" s="2183" t="s">
        <v>5795</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outlineLevel="1">
      <c r="A2157" s="2171" t="str">
        <f t="shared" si="420"/>
        <v/>
      </c>
      <c r="B2157" s="2241" t="s">
        <v>289</v>
      </c>
      <c r="C2157" s="2257"/>
      <c r="D2157" s="2141">
        <v>0</v>
      </c>
      <c r="E2157" s="2183" t="s">
        <v>5708</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outlineLevel="1">
      <c r="A2162" s="2171" t="str">
        <f t="shared" si="420"/>
        <v/>
      </c>
      <c r="B2162" s="2250" t="s">
        <v>6240</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outlineLevel="1">
      <c r="A2164" s="2171" t="str">
        <f t="shared" si="420"/>
        <v/>
      </c>
      <c r="B2164" s="2250" t="s">
        <v>6241</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outlineLevel="1">
      <c r="A2165" s="2171" t="str">
        <f t="shared" si="420"/>
        <v/>
      </c>
      <c r="B2165" s="2250" t="s">
        <v>6242</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outlineLevel="1">
      <c r="A2168" s="2171" t="str">
        <f t="shared" si="420"/>
        <v/>
      </c>
      <c r="B2168" s="2250" t="s">
        <v>6</v>
      </c>
      <c r="C2168" s="2257"/>
      <c r="D2168" s="2141">
        <v>0</v>
      </c>
      <c r="E2168" s="2183" t="s">
        <v>3566</v>
      </c>
      <c r="F2168" s="2141" t="s">
        <v>5802</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outlineLevel="1">
      <c r="A2169" s="2171" t="str">
        <f t="shared" si="420"/>
        <v/>
      </c>
      <c r="B2169" s="2250" t="s">
        <v>672</v>
      </c>
      <c r="C2169" s="2257"/>
      <c r="D2169" s="2141">
        <v>0</v>
      </c>
      <c r="E2169" s="2183" t="s">
        <v>5797</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outlineLevel="1">
      <c r="A2170" s="2171" t="str">
        <f t="shared" si="420"/>
        <v/>
      </c>
      <c r="B2170" s="2250" t="s">
        <v>1525</v>
      </c>
      <c r="C2170" s="2257"/>
      <c r="D2170" s="2141" t="s">
        <v>5567</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outlineLevel="1">
      <c r="A2171" s="2171" t="str">
        <f>IF(G2171&lt;&gt;0,1,"")</f>
        <v/>
      </c>
      <c r="B2171" s="2250"/>
      <c r="C2171" s="2247">
        <f>IF(G2171&gt;0,C2153+1,C2153)</f>
        <v>0</v>
      </c>
      <c r="D2171" s="2248"/>
      <c r="E2171" s="2249" t="s">
        <v>6255</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4.4" outlineLevel="1">
      <c r="A2172" s="2171" t="str">
        <f>A2171</f>
        <v/>
      </c>
      <c r="B2172" s="2250"/>
      <c r="C2172" s="2247"/>
      <c r="D2172" s="2248"/>
      <c r="E2172" s="2263" t="s">
        <v>6125</v>
      </c>
      <c r="F2172" s="2247"/>
      <c r="G2172" s="2440"/>
      <c r="H2172" s="2253"/>
      <c r="I2172" s="2253"/>
      <c r="J2172" s="2253"/>
      <c r="K2172" s="2253"/>
      <c r="L2172" s="2253"/>
      <c r="M2172" s="2253"/>
      <c r="N2172" s="2253"/>
      <c r="O2172" s="2253"/>
      <c r="P2172" s="2430"/>
      <c r="Q2172" s="2255"/>
      <c r="R2172" s="2255"/>
      <c r="S2172" s="2255"/>
    </row>
    <row r="2173" spans="1:19" s="2094" customFormat="1" outlineLevel="1">
      <c r="A2173" s="2171" t="str">
        <f t="shared" ref="A2173:A2184" si="425">IF(G2173&lt;&gt;0,1,"")</f>
        <v/>
      </c>
      <c r="B2173" s="2241" t="s">
        <v>697</v>
      </c>
      <c r="C2173" s="2257"/>
      <c r="D2173" s="2141">
        <v>0</v>
      </c>
      <c r="E2173" s="2183" t="s">
        <v>5083</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outlineLevel="1">
      <c r="A2175" s="2171" t="str">
        <f t="shared" si="425"/>
        <v/>
      </c>
      <c r="B2175" s="2346" t="s">
        <v>1477</v>
      </c>
      <c r="C2175" s="2257"/>
      <c r="D2175" s="2141">
        <v>0</v>
      </c>
      <c r="E2175" s="2183" t="s">
        <v>6338</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outlineLevel="1">
      <c r="A2176" s="2171" t="str">
        <f t="shared" si="425"/>
        <v/>
      </c>
      <c r="B2176" s="2346" t="s">
        <v>5695</v>
      </c>
      <c r="C2176" s="2257"/>
      <c r="D2176" s="2141">
        <v>0</v>
      </c>
      <c r="E2176" s="2183" t="s">
        <v>5696</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outlineLevel="1">
      <c r="A2177" s="2171" t="str">
        <f t="shared" si="425"/>
        <v/>
      </c>
      <c r="B2177" s="2346" t="s">
        <v>5701</v>
      </c>
      <c r="C2177" s="2257"/>
      <c r="D2177" s="2141">
        <v>0</v>
      </c>
      <c r="E2177" s="2183" t="s">
        <v>5702</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outlineLevel="1">
      <c r="A2178" s="2171" t="str">
        <f t="shared" si="425"/>
        <v/>
      </c>
      <c r="B2178" s="2346" t="s">
        <v>5703</v>
      </c>
      <c r="C2178" s="2257"/>
      <c r="D2178" s="2141">
        <v>0</v>
      </c>
      <c r="E2178" s="2183" t="s">
        <v>5704</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outlineLevel="1">
      <c r="A2179" s="2171" t="str">
        <f t="shared" si="425"/>
        <v/>
      </c>
      <c r="B2179" s="2346" t="s">
        <v>6256</v>
      </c>
      <c r="C2179" s="2257"/>
      <c r="D2179" s="2141"/>
      <c r="E2179" s="2183" t="s">
        <v>5694</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outlineLevel="1">
      <c r="A2182" s="2171" t="str">
        <f t="shared" si="425"/>
        <v/>
      </c>
      <c r="B2182" s="2241" t="s">
        <v>1565</v>
      </c>
      <c r="C2182" s="2257"/>
      <c r="D2182" s="2141" t="s">
        <v>5556</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outlineLevel="1">
      <c r="A2183" s="2171" t="str">
        <f t="shared" si="425"/>
        <v/>
      </c>
      <c r="B2183" s="2241" t="s">
        <v>1525</v>
      </c>
      <c r="C2183" s="2257"/>
      <c r="D2183" s="2141" t="s">
        <v>5567</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4.4" outlineLevel="1">
      <c r="A2185" s="2171" t="str">
        <f>A2184</f>
        <v/>
      </c>
      <c r="B2185" s="2250"/>
      <c r="C2185" s="2247"/>
      <c r="D2185" s="2248"/>
      <c r="E2185" s="2263" t="s">
        <v>6125</v>
      </c>
      <c r="F2185" s="2247"/>
      <c r="G2185" s="2440"/>
      <c r="H2185" s="2253"/>
      <c r="I2185" s="2253"/>
      <c r="J2185" s="2253"/>
      <c r="K2185" s="2253"/>
      <c r="L2185" s="2253"/>
      <c r="M2185" s="2253"/>
      <c r="N2185" s="2253"/>
      <c r="O2185" s="2253"/>
      <c r="P2185" s="2254"/>
      <c r="Q2185" s="2255"/>
      <c r="R2185" s="2255"/>
      <c r="S2185" s="2255"/>
    </row>
    <row r="2186" spans="1:19" s="2094" customFormat="1"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outlineLevel="1">
      <c r="A2187" s="2171" t="str">
        <f>IF(G2187&lt;&gt;0,1,"")</f>
        <v/>
      </c>
      <c r="B2187" s="2250" t="s">
        <v>86</v>
      </c>
      <c r="C2187" s="2257"/>
      <c r="D2187" s="2141">
        <v>0</v>
      </c>
      <c r="E2187" s="2183" t="s">
        <v>5793</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outlineLevel="1">
      <c r="A2190" s="2171" t="str">
        <f>IF(G2190&lt;&gt;0,1,"")</f>
        <v/>
      </c>
      <c r="B2190" s="2241"/>
      <c r="C2190" s="2247">
        <f>IF(G2190&gt;0,C2184+1,C2184)</f>
        <v>0</v>
      </c>
      <c r="D2190" s="2248"/>
      <c r="E2190" s="2249" t="s">
        <v>6257</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4.4" outlineLevel="1">
      <c r="A2191" s="2171" t="str">
        <f>A2190</f>
        <v/>
      </c>
      <c r="B2191" s="2241"/>
      <c r="C2191" s="2247"/>
      <c r="D2191" s="2248"/>
      <c r="E2191" s="2263" t="s">
        <v>6125</v>
      </c>
      <c r="F2191" s="2247"/>
      <c r="G2191" s="2439"/>
      <c r="H2191" s="2253"/>
      <c r="I2191" s="2253"/>
      <c r="J2191" s="2253"/>
      <c r="K2191" s="2253"/>
      <c r="L2191" s="2253"/>
      <c r="M2191" s="2253"/>
      <c r="N2191" s="2253"/>
      <c r="O2191" s="2253"/>
      <c r="P2191" s="2430"/>
      <c r="Q2191" s="2255"/>
      <c r="R2191" s="2255"/>
      <c r="S2191" s="2255"/>
    </row>
    <row r="2192" spans="1:19" s="2094" customFormat="1"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outlineLevel="1">
      <c r="A2194" s="2171" t="str">
        <f>IF(G2194&lt;&gt;0,1,"")</f>
        <v/>
      </c>
      <c r="B2194" s="2250" t="s">
        <v>1305</v>
      </c>
      <c r="C2194" s="2257"/>
      <c r="D2194" s="2141" t="s">
        <v>5724</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outlineLevel="1">
      <c r="A2195" s="2171" t="str">
        <f>IF(G2195&lt;&gt;0,1,"")</f>
        <v/>
      </c>
      <c r="B2195" s="2250" t="s">
        <v>2156</v>
      </c>
      <c r="C2195" s="2257"/>
      <c r="D2195" s="2141" t="s">
        <v>5727</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outlineLevel="1">
      <c r="A2199" s="2171" t="str">
        <f t="shared" si="430"/>
        <v/>
      </c>
      <c r="B2199" s="2250" t="s">
        <v>86</v>
      </c>
      <c r="C2199" s="2257"/>
      <c r="D2199" s="2141">
        <v>0</v>
      </c>
      <c r="E2199" s="2183" t="s">
        <v>5793</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outlineLevel="1">
      <c r="A2200" s="2171" t="str">
        <f t="shared" si="430"/>
        <v/>
      </c>
      <c r="B2200" s="2250" t="s">
        <v>1990</v>
      </c>
      <c r="C2200" s="2257"/>
      <c r="D2200" s="2141">
        <v>0</v>
      </c>
      <c r="E2200" s="2183" t="s">
        <v>5253</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outlineLevel="1">
      <c r="A2203" s="2171" t="str">
        <f t="shared" si="430"/>
        <v/>
      </c>
      <c r="B2203" s="2250" t="s">
        <v>5789</v>
      </c>
      <c r="C2203" s="2257"/>
      <c r="D2203" s="2141">
        <v>0</v>
      </c>
      <c r="E2203" s="2183" t="s">
        <v>5790</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outlineLevel="1">
      <c r="A2205" s="2171" t="str">
        <f t="shared" si="430"/>
        <v/>
      </c>
      <c r="B2205" s="2250" t="s">
        <v>6</v>
      </c>
      <c r="C2205" s="2257"/>
      <c r="D2205" s="2141">
        <v>0</v>
      </c>
      <c r="E2205" s="2183" t="s">
        <v>3566</v>
      </c>
      <c r="F2205" s="2141" t="s">
        <v>5802</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outlineLevel="1">
      <c r="A2206" s="2171" t="str">
        <f t="shared" si="430"/>
        <v/>
      </c>
      <c r="B2206" s="2250" t="s">
        <v>672</v>
      </c>
      <c r="C2206" s="2257"/>
      <c r="D2206" s="2141">
        <v>0</v>
      </c>
      <c r="E2206" s="2183" t="s">
        <v>5797</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outlineLevel="1">
      <c r="A2207" s="2171" t="str">
        <f t="shared" si="430"/>
        <v/>
      </c>
      <c r="B2207" s="2250" t="s">
        <v>2006</v>
      </c>
      <c r="C2207" s="2257"/>
      <c r="D2207" s="2141" t="s">
        <v>5568</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outlineLevel="1">
      <c r="A2208" s="2171" t="str">
        <f t="shared" si="430"/>
        <v/>
      </c>
      <c r="B2208" s="2250" t="s">
        <v>247</v>
      </c>
      <c r="C2208" s="2257"/>
      <c r="D2208" s="2141" t="s">
        <v>5569</v>
      </c>
      <c r="E2208" s="2183" t="s">
        <v>5570</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outlineLevel="1">
      <c r="A2209" s="2171">
        <f>A2055</f>
        <v>0</v>
      </c>
      <c r="B2209" s="2346"/>
      <c r="C2209" s="2521" t="s">
        <v>6123</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outlineLevel="1">
      <c r="A2240" s="2171">
        <f>A2257</f>
        <v>0</v>
      </c>
      <c r="B2240" s="2250" t="s">
        <v>6104</v>
      </c>
      <c r="C2240" s="2637" t="s">
        <v>1708</v>
      </c>
      <c r="D2240" s="2638" t="s">
        <v>2597</v>
      </c>
      <c r="E2240" s="2640" t="s">
        <v>2598</v>
      </c>
      <c r="F2240" s="2637" t="s">
        <v>2593</v>
      </c>
      <c r="G2240" s="2098" t="s">
        <v>6105</v>
      </c>
      <c r="H2240" s="2101" t="s">
        <v>6106</v>
      </c>
      <c r="I2240" s="2608"/>
      <c r="J2240" s="2608"/>
      <c r="K2240" s="2609"/>
      <c r="L2240" s="2101" t="s">
        <v>6107</v>
      </c>
      <c r="M2240" s="2608"/>
      <c r="N2240" s="2608"/>
      <c r="O2240" s="2609"/>
      <c r="P2240" s="2643" t="s">
        <v>2599</v>
      </c>
      <c r="Q2240" s="2255"/>
      <c r="R2240" s="2255"/>
      <c r="S2240" s="2255"/>
    </row>
    <row r="2241" spans="1:19" s="2094" customFormat="1" outlineLevel="1">
      <c r="A2241" s="2171">
        <f>A2257</f>
        <v>0</v>
      </c>
      <c r="B2241" s="2250"/>
      <c r="C2241" s="2637"/>
      <c r="D2241" s="2639"/>
      <c r="E2241" s="2641"/>
      <c r="F2241" s="2637"/>
      <c r="G2241" s="2100" t="s">
        <v>2286</v>
      </c>
      <c r="H2241" s="2101" t="s">
        <v>6108</v>
      </c>
      <c r="I2241" s="2101" t="s">
        <v>6109</v>
      </c>
      <c r="J2241" s="2101" t="s">
        <v>6110</v>
      </c>
      <c r="K2241" s="2101" t="s">
        <v>6111</v>
      </c>
      <c r="L2241" s="2101" t="s">
        <v>6108</v>
      </c>
      <c r="M2241" s="2101" t="s">
        <v>6109</v>
      </c>
      <c r="N2241" s="2101" t="s">
        <v>6110</v>
      </c>
      <c r="O2241" s="2101" t="s">
        <v>6111</v>
      </c>
      <c r="P2241" s="2644"/>
      <c r="Q2241" s="2255"/>
      <c r="R2241" s="2255"/>
      <c r="S2241" s="2255"/>
    </row>
    <row r="2242" spans="1:19" s="2094" customFormat="1"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outlineLevel="1">
      <c r="A2243" s="2171" t="str">
        <f t="shared" ref="A2243:A2256" si="435">IF(G2243&lt;&gt;0,1,"")</f>
        <v/>
      </c>
      <c r="B2243" s="2241" t="str">
        <f>IF($F$8=15,"tr560","tr5601")</f>
        <v>tr5601</v>
      </c>
      <c r="C2243" s="2257">
        <f>IF(G2243&gt;0,1,0)</f>
        <v>0</v>
      </c>
      <c r="D2243" s="2141" t="s">
        <v>5588</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outlineLevel="1">
      <c r="A2244" s="2171" t="str">
        <f t="shared" si="435"/>
        <v/>
      </c>
      <c r="B2244" s="2107" t="str">
        <f>"FCO100-"&amp;$F$8</f>
        <v>FCO100-22</v>
      </c>
      <c r="C2244" s="2257">
        <f t="shared" ref="C2244:C2252" si="440">IF(G2244&gt;0,C2243+1,C2243)</f>
        <v>0</v>
      </c>
      <c r="D2244" s="2141" t="s">
        <v>5594</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outlineLevel="1">
      <c r="A2246" s="2171" t="str">
        <f t="shared" si="435"/>
        <v/>
      </c>
      <c r="B2246" s="2250" t="str">
        <f>"LA"&amp;$F$6</f>
        <v>LA18</v>
      </c>
      <c r="C2246" s="2257">
        <f t="shared" si="440"/>
        <v>0</v>
      </c>
      <c r="D2246" s="2141" t="s">
        <v>5598</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outlineLevel="1">
      <c r="A2248" s="2171" t="str">
        <f>IF(G2248&lt;&gt;0,1,"")</f>
        <v/>
      </c>
      <c r="B2248" s="2346" t="s">
        <v>1462</v>
      </c>
      <c r="C2248" s="2257">
        <f>IF(G2248&gt;0,C2247+1,C2247)</f>
        <v>0</v>
      </c>
      <c r="D2248" s="2141" t="s">
        <v>5684</v>
      </c>
      <c r="E2248" s="2183" t="s">
        <v>5685</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outlineLevel="1">
      <c r="A2251" s="2171" t="str">
        <f>IF(G2251&lt;&gt;0,1,"")</f>
        <v/>
      </c>
      <c r="B2251" s="2346" t="s">
        <v>936</v>
      </c>
      <c r="C2251" s="2257">
        <f t="shared" si="440"/>
        <v>0</v>
      </c>
      <c r="D2251" s="2141">
        <v>0</v>
      </c>
      <c r="E2251" s="2183" t="s">
        <v>5675</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outlineLevel="1">
      <c r="A2252" s="2171" t="str">
        <f>IF(G2252&lt;&gt;0,1,"")</f>
        <v/>
      </c>
      <c r="B2252" s="2346" t="s">
        <v>1221</v>
      </c>
      <c r="C2252" s="2257">
        <f t="shared" si="440"/>
        <v>0</v>
      </c>
      <c r="D2252" s="2141">
        <v>0</v>
      </c>
      <c r="E2252" s="2183" t="s">
        <v>5672</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outlineLevel="1">
      <c r="A2257" s="2171">
        <f>IF(SUM(L2257:O2257)&lt;&gt;0,1,)</f>
        <v>0</v>
      </c>
      <c r="B2257" s="2250"/>
      <c r="C2257" s="2382"/>
      <c r="D2257" s="2383"/>
      <c r="E2257" s="2384"/>
      <c r="F2257" s="2382"/>
      <c r="G2257" s="2434"/>
      <c r="H2257" s="2382"/>
      <c r="I2257" s="2382"/>
      <c r="J2257" s="2106" t="s">
        <v>6113</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outlineLevel="1">
      <c r="A2259" s="2171" t="str">
        <f t="shared" ref="A2259:A2277" si="441">IF(G2259&lt;&gt;0,1,"")</f>
        <v/>
      </c>
      <c r="B2259" s="2390"/>
      <c r="C2259" s="2391">
        <f>IF(G2259&gt;0,1,0)</f>
        <v>0</v>
      </c>
      <c r="D2259" s="2141"/>
      <c r="E2259" s="2392" t="s">
        <v>6114</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outlineLevel="1">
      <c r="A2263" s="2171" t="str">
        <f t="shared" si="441"/>
        <v/>
      </c>
      <c r="B2263" s="2390"/>
      <c r="C2263" s="2391">
        <f>IF(G2263&gt;0,1,0)</f>
        <v>0</v>
      </c>
      <c r="D2263" s="2141"/>
      <c r="E2263" s="2392" t="s">
        <v>6209</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outlineLevel="1">
      <c r="A2268" s="2171" t="str">
        <f t="shared" si="441"/>
        <v/>
      </c>
      <c r="B2268" s="2346" t="s">
        <v>636</v>
      </c>
      <c r="C2268" s="2396"/>
      <c r="D2268" s="2141" t="s">
        <v>5043</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outlineLevel="1">
      <c r="A2269" s="2171" t="str">
        <f t="shared" si="441"/>
        <v/>
      </c>
      <c r="B2269" s="2346" t="s">
        <v>566</v>
      </c>
      <c r="C2269" s="2396"/>
      <c r="D2269" s="2141"/>
      <c r="E2269" s="2397" t="s">
        <v>5068</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outlineLevel="1">
      <c r="A2270" s="2171" t="str">
        <f t="shared" si="441"/>
        <v/>
      </c>
      <c r="B2270" s="2346" t="s">
        <v>639</v>
      </c>
      <c r="C2270" s="2396"/>
      <c r="D2270" s="2141" t="s">
        <v>1747</v>
      </c>
      <c r="E2270" s="2397" t="s">
        <v>5320</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outlineLevel="1">
      <c r="A2271" s="2171" t="str">
        <f t="shared" si="441"/>
        <v/>
      </c>
      <c r="B2271" s="2346" t="s">
        <v>21</v>
      </c>
      <c r="C2271" s="2396"/>
      <c r="D2271" s="2141" t="s">
        <v>5321</v>
      </c>
      <c r="E2271" s="2397" t="s">
        <v>5322</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outlineLevel="1">
      <c r="A2273" s="2171" t="str">
        <f t="shared" si="441"/>
        <v/>
      </c>
      <c r="B2273" s="2346" t="s">
        <v>636</v>
      </c>
      <c r="C2273" s="2396"/>
      <c r="D2273" s="2141" t="s">
        <v>5043</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outlineLevel="1">
      <c r="A2274" s="2171" t="str">
        <f t="shared" si="441"/>
        <v/>
      </c>
      <c r="B2274" s="2346" t="s">
        <v>566</v>
      </c>
      <c r="C2274" s="2396"/>
      <c r="D2274" s="2141"/>
      <c r="E2274" s="2397" t="s">
        <v>5068</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outlineLevel="1">
      <c r="A2275" s="2171" t="str">
        <f t="shared" si="441"/>
        <v/>
      </c>
      <c r="B2275" s="2346" t="s">
        <v>639</v>
      </c>
      <c r="C2275" s="2396"/>
      <c r="D2275" s="2141" t="s">
        <v>1747</v>
      </c>
      <c r="E2275" s="2397" t="s">
        <v>5320</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outlineLevel="1">
      <c r="A2276" s="2171" t="str">
        <f t="shared" si="441"/>
        <v/>
      </c>
      <c r="B2276" s="2346" t="s">
        <v>21</v>
      </c>
      <c r="C2276" s="2396"/>
      <c r="D2276" s="2141" t="s">
        <v>5321</v>
      </c>
      <c r="E2276" s="2397" t="s">
        <v>5322</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4.4" outlineLevel="1">
      <c r="A2278" s="2171" t="str">
        <f>A2277</f>
        <v/>
      </c>
      <c r="B2278" s="2250"/>
      <c r="C2278" s="2247"/>
      <c r="D2278" s="2403"/>
      <c r="E2278" s="2256" t="s">
        <v>6125</v>
      </c>
      <c r="F2278" s="2257"/>
      <c r="G2278" s="2367"/>
      <c r="H2278" s="2404"/>
      <c r="I2278" s="2404"/>
      <c r="J2278" s="2404"/>
      <c r="K2278" s="2404"/>
      <c r="L2278" s="2404"/>
      <c r="M2278" s="2404"/>
      <c r="N2278" s="2404"/>
      <c r="O2278" s="2404"/>
      <c r="P2278" s="2438"/>
      <c r="Q2278" s="2255"/>
      <c r="R2278" s="2255"/>
      <c r="S2278" s="2255"/>
    </row>
    <row r="2279" spans="1:19" s="2094" customFormat="1" outlineLevel="1">
      <c r="A2279" s="2171" t="str">
        <f t="shared" ref="A2279:A2284" si="442">IF(G2279&lt;&gt;0,1,"")</f>
        <v/>
      </c>
      <c r="B2279" s="2241" t="s">
        <v>1408</v>
      </c>
      <c r="C2279" s="2247"/>
      <c r="D2279" s="2141">
        <v>0</v>
      </c>
      <c r="E2279" s="2183" t="s">
        <v>6345</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outlineLevel="1">
      <c r="A2280" s="2171" t="str">
        <f t="shared" si="442"/>
        <v/>
      </c>
      <c r="B2280" s="2241" t="s">
        <v>1137</v>
      </c>
      <c r="C2280" s="2247"/>
      <c r="D2280" s="2141">
        <v>0</v>
      </c>
      <c r="E2280" s="2183" t="s">
        <v>6331</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outlineLevel="1">
      <c r="A2281" s="2171" t="str">
        <f t="shared" si="442"/>
        <v/>
      </c>
      <c r="B2281" s="2241" t="s">
        <v>1138</v>
      </c>
      <c r="C2281" s="2247"/>
      <c r="D2281" s="2141">
        <v>0</v>
      </c>
      <c r="E2281" s="2183" t="s">
        <v>6332</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outlineLevel="1">
      <c r="A2285" s="2171" t="str">
        <f>IF(G2285&lt;&gt;0,1,"")</f>
        <v/>
      </c>
      <c r="B2285" s="2110" t="s">
        <v>5421</v>
      </c>
      <c r="C2285" s="2247"/>
      <c r="D2285" s="2141" t="s">
        <v>5422</v>
      </c>
      <c r="E2285" s="2183" t="s">
        <v>5423</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outlineLevel="1">
      <c r="A2286" s="2171" t="str">
        <f>IF(G2286&lt;&gt;0,1,"")</f>
        <v/>
      </c>
      <c r="B2286" s="2241" t="s">
        <v>6210</v>
      </c>
      <c r="C2286" s="2247"/>
      <c r="D2286" s="2141" t="s">
        <v>5374</v>
      </c>
      <c r="E2286" s="2183" t="s">
        <v>5375</v>
      </c>
      <c r="F2286" s="2141" t="s">
        <v>2439</v>
      </c>
      <c r="G2286" s="2258"/>
      <c r="H2286" s="2348">
        <v>0</v>
      </c>
      <c r="I2286" s="2405"/>
      <c r="J2286" s="2348" t="s">
        <v>6336</v>
      </c>
      <c r="K2286" s="2348">
        <v>0</v>
      </c>
      <c r="L2286" s="2349">
        <f>H2286*G2286</f>
        <v>0</v>
      </c>
      <c r="M2286" s="2349">
        <f t="shared" si="444"/>
        <v>0</v>
      </c>
      <c r="N2286" s="2348">
        <v>0</v>
      </c>
      <c r="O2286" s="2349">
        <f t="shared" si="445"/>
        <v>0</v>
      </c>
      <c r="P2286" s="2254"/>
      <c r="Q2286" s="2255"/>
      <c r="R2286" s="2255"/>
      <c r="S2286" s="2255"/>
    </row>
    <row r="2287" spans="1:19" s="2094" customFormat="1" outlineLevel="1">
      <c r="A2287" s="2171" t="str">
        <f>IF(G2287&lt;&gt;0,1,"")</f>
        <v/>
      </c>
      <c r="B2287" s="2250"/>
      <c r="C2287" s="2247">
        <f>IF(G2287&gt;0,C2277+1,C2273)</f>
        <v>0</v>
      </c>
      <c r="D2287" s="2248"/>
      <c r="E2287" s="2406" t="s">
        <v>6211</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4.4" outlineLevel="1">
      <c r="A2288" s="2171" t="str">
        <f>A2287</f>
        <v/>
      </c>
      <c r="B2288" s="2250"/>
      <c r="C2288" s="2247"/>
      <c r="D2288" s="2248"/>
      <c r="E2288" s="2256" t="s">
        <v>6125</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outlineLevel="1">
      <c r="A2289" s="2171" t="str">
        <f>IF(G2289&lt;&gt;0,1,"")</f>
        <v/>
      </c>
      <c r="B2289" s="2122" t="s">
        <v>5151</v>
      </c>
      <c r="C2289" s="2247"/>
      <c r="D2289" s="2141">
        <v>0</v>
      </c>
      <c r="E2289" s="2183" t="s">
        <v>5152</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outlineLevel="1">
      <c r="A2290" s="2171" t="str">
        <f>IF(G2290&lt;&gt;0,1,"")</f>
        <v/>
      </c>
      <c r="B2290" s="2119" t="s">
        <v>488</v>
      </c>
      <c r="C2290" s="2247"/>
      <c r="D2290" s="2141">
        <v>0</v>
      </c>
      <c r="E2290" s="2183" t="s">
        <v>5074</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outlineLevel="1">
      <c r="A2292" s="2171" t="str">
        <f>IF(G2292&lt;&gt;0,1,"")</f>
        <v/>
      </c>
      <c r="B2292" s="2241" t="s">
        <v>6258</v>
      </c>
      <c r="C2292" s="2247"/>
      <c r="D2292" s="2141" t="s">
        <v>5144</v>
      </c>
      <c r="E2292" s="2183" t="s">
        <v>5373</v>
      </c>
      <c r="F2292" s="2141" t="s">
        <v>2439</v>
      </c>
      <c r="G2292" s="2347">
        <f>+G2287</f>
        <v>0</v>
      </c>
      <c r="H2292" s="2253">
        <v>0</v>
      </c>
      <c r="I2292" s="2348"/>
      <c r="J2292" s="2348" t="s">
        <v>6346</v>
      </c>
      <c r="K2292" s="2348"/>
      <c r="L2292" s="2349">
        <f t="shared" si="443"/>
        <v>0</v>
      </c>
      <c r="M2292" s="2349"/>
      <c r="N2292" s="2348">
        <v>0</v>
      </c>
      <c r="O2292" s="2349"/>
      <c r="P2292" s="2438"/>
      <c r="Q2292" s="2255"/>
      <c r="R2292" s="2255"/>
      <c r="S2292" s="2255"/>
    </row>
    <row r="2293" spans="1:19" s="2094" customFormat="1" outlineLevel="1">
      <c r="A2293" s="2171" t="str">
        <f>IF(G2293&lt;&gt;0,1,"")</f>
        <v/>
      </c>
      <c r="B2293" s="2250"/>
      <c r="C2293" s="2247">
        <f>IF(G2293&gt;0,C2277+2,C2277)</f>
        <v>0</v>
      </c>
      <c r="D2293" s="2248"/>
      <c r="E2293" s="2406" t="s">
        <v>4450</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4.4" outlineLevel="1">
      <c r="A2294" s="2171" t="str">
        <f>A2293</f>
        <v/>
      </c>
      <c r="B2294" s="2250"/>
      <c r="C2294" s="2247"/>
      <c r="D2294" s="2248"/>
      <c r="E2294" s="2256" t="s">
        <v>6125</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outlineLevel="1">
      <c r="A2297" s="2171" t="str">
        <f>IF(G2297&lt;&gt;0,1,"")</f>
        <v/>
      </c>
      <c r="B2297" s="2110" t="s">
        <v>5421</v>
      </c>
      <c r="C2297" s="2247"/>
      <c r="D2297" s="2141" t="s">
        <v>5422</v>
      </c>
      <c r="E2297" s="2183" t="s">
        <v>5423</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outlineLevel="1">
      <c r="A2298" s="2171" t="str">
        <f>IF(G2298&lt;&gt;0,1,"")</f>
        <v/>
      </c>
      <c r="B2298" s="2250"/>
      <c r="C2298" s="2247">
        <f>IF(G2298&gt;0,C2293+1,C2293)</f>
        <v>0</v>
      </c>
      <c r="D2298" s="2248"/>
      <c r="E2298" s="2406" t="s">
        <v>6213</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4.4" outlineLevel="1">
      <c r="A2299" s="2171" t="str">
        <f>A2298</f>
        <v/>
      </c>
      <c r="B2299" s="2250"/>
      <c r="C2299" s="2247"/>
      <c r="D2299" s="2248"/>
      <c r="E2299" s="2256" t="s">
        <v>6125</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outlineLevel="1">
      <c r="A2303" s="2171" t="str">
        <f>IF(G2303&lt;&gt;0,1,"")</f>
        <v/>
      </c>
      <c r="B2303" s="2110" t="s">
        <v>5421</v>
      </c>
      <c r="C2303" s="2247"/>
      <c r="D2303" s="2141" t="s">
        <v>5422</v>
      </c>
      <c r="E2303" s="2183" t="s">
        <v>5423</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4.4" outlineLevel="1">
      <c r="A2305" s="2171" t="str">
        <f>+A2304</f>
        <v/>
      </c>
      <c r="B2305" s="2407"/>
      <c r="C2305" s="2247"/>
      <c r="D2305" s="2248"/>
      <c r="E2305" s="2256" t="s">
        <v>6125</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outlineLevel="1">
      <c r="A2307" s="2171" t="str">
        <f t="shared" si="446"/>
        <v/>
      </c>
      <c r="B2307" s="2250" t="s">
        <v>1508</v>
      </c>
      <c r="C2307" s="2247"/>
      <c r="D2307" s="2141">
        <v>0</v>
      </c>
      <c r="E2307" s="2183" t="s">
        <v>5159</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outlineLevel="1">
      <c r="A2310" s="2171" t="str">
        <f>IF(G2310&lt;&gt;0,1,"")</f>
        <v/>
      </c>
      <c r="B2310" s="2250" t="s">
        <v>6200</v>
      </c>
      <c r="C2310" s="2247"/>
      <c r="D2310" s="2141" t="s">
        <v>5721</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outlineLevel="1">
      <c r="A2312" s="2171" t="str">
        <f t="shared" si="446"/>
        <v/>
      </c>
      <c r="B2312" s="2250" t="s">
        <v>525</v>
      </c>
      <c r="C2312" s="2247"/>
      <c r="D2312" s="2141">
        <v>0</v>
      </c>
      <c r="E2312" s="2183" t="s">
        <v>5248</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outlineLevel="1">
      <c r="A2313" s="2171" t="str">
        <f t="shared" si="446"/>
        <v/>
      </c>
      <c r="B2313" s="2250" t="s">
        <v>1585</v>
      </c>
      <c r="C2313" s="2247"/>
      <c r="D2313" s="2141">
        <v>0</v>
      </c>
      <c r="E2313" s="2183" t="s">
        <v>5709</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outlineLevel="1">
      <c r="A2314" s="2171" t="str">
        <f t="shared" si="446"/>
        <v/>
      </c>
      <c r="B2314" s="2250" t="s">
        <v>5160</v>
      </c>
      <c r="C2314" s="2247"/>
      <c r="D2314" s="2141">
        <v>0</v>
      </c>
      <c r="E2314" s="2183" t="s">
        <v>5161</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outlineLevel="1">
      <c r="A2315" s="2171" t="str">
        <f t="shared" si="446"/>
        <v/>
      </c>
      <c r="B2315" s="2250" t="s">
        <v>5164</v>
      </c>
      <c r="C2315" s="2247"/>
      <c r="D2315" s="2141" t="s">
        <v>5165</v>
      </c>
      <c r="E2315" s="2183" t="s">
        <v>5166</v>
      </c>
      <c r="F2315" s="2141" t="s">
        <v>5167</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outlineLevel="1">
      <c r="A2317" s="2171" t="str">
        <f t="shared" si="446"/>
        <v/>
      </c>
      <c r="B2317" s="2241" t="s">
        <v>5171</v>
      </c>
      <c r="C2317" s="2247"/>
      <c r="D2317" s="2141">
        <v>0</v>
      </c>
      <c r="E2317" s="2183" t="s">
        <v>5172</v>
      </c>
      <c r="F2317" s="2141" t="s">
        <v>5170</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outlineLevel="1">
      <c r="A2319" s="2171" t="str">
        <f t="shared" si="446"/>
        <v/>
      </c>
      <c r="B2319" s="2250" t="s">
        <v>5175</v>
      </c>
      <c r="C2319" s="2408"/>
      <c r="D2319" s="2141">
        <v>0</v>
      </c>
      <c r="E2319" s="2183" t="s">
        <v>5176</v>
      </c>
      <c r="F2319" s="2141" t="s">
        <v>5170</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outlineLevel="1">
      <c r="A2320" s="2171" t="str">
        <f>IF(G2320&lt;&gt;0,1,"")</f>
        <v/>
      </c>
      <c r="B2320" s="2250" t="s">
        <v>6226</v>
      </c>
      <c r="C2320" s="2408"/>
      <c r="D2320" s="2141">
        <v>0</v>
      </c>
      <c r="E2320" s="2183" t="s">
        <v>5047</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outlineLevel="1">
      <c r="A2321" s="2171" t="str">
        <f t="shared" si="446"/>
        <v/>
      </c>
      <c r="B2321" s="2241" t="s">
        <v>5177</v>
      </c>
      <c r="C2321" s="2247"/>
      <c r="D2321" s="2141">
        <v>0</v>
      </c>
      <c r="E2321" s="2183" t="s">
        <v>5178</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outlineLevel="1">
      <c r="A2322" s="2171" t="str">
        <f t="shared" si="446"/>
        <v/>
      </c>
      <c r="B2322" s="2241" t="s">
        <v>5179</v>
      </c>
      <c r="C2322" s="2247"/>
      <c r="D2322" s="2141">
        <v>0</v>
      </c>
      <c r="E2322" s="2183" t="s">
        <v>5180</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outlineLevel="1">
      <c r="A2323" s="2171">
        <f>IF(G2323=0,0,1)</f>
        <v>0</v>
      </c>
      <c r="B2323" s="2241" t="s">
        <v>794</v>
      </c>
      <c r="C2323" s="2257"/>
      <c r="D2323" s="2141" t="s">
        <v>5332</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outlineLevel="1">
      <c r="A2324" s="2171">
        <f>IF(G2324=0,0,1)</f>
        <v>0</v>
      </c>
      <c r="B2324" s="2241" t="s">
        <v>798</v>
      </c>
      <c r="C2324" s="2257"/>
      <c r="D2324" s="2141" t="s">
        <v>5321</v>
      </c>
      <c r="E2324" s="2183" t="s">
        <v>5333</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outlineLevel="1">
      <c r="A2325" s="2171">
        <f>IF(G2325=0,0,1)</f>
        <v>0</v>
      </c>
      <c r="B2325" s="2241" t="s">
        <v>902</v>
      </c>
      <c r="C2325" s="2257"/>
      <c r="D2325" s="2141" t="s">
        <v>5347</v>
      </c>
      <c r="E2325" s="2183" t="s">
        <v>5348</v>
      </c>
      <c r="F2325" s="2141" t="s">
        <v>2385</v>
      </c>
      <c r="G2325" s="2537">
        <f>G2307</f>
        <v>0</v>
      </c>
      <c r="H2325" s="2253">
        <v>0</v>
      </c>
      <c r="I2325" s="2253"/>
      <c r="J2325" s="2253" t="s">
        <v>6304</v>
      </c>
      <c r="K2325" s="2253">
        <v>0</v>
      </c>
      <c r="L2325" s="2253">
        <f>H2325*$G2325</f>
        <v>0</v>
      </c>
      <c r="M2325" s="2253">
        <f>I2325*$G2325</f>
        <v>0</v>
      </c>
      <c r="N2325" s="2253">
        <v>0</v>
      </c>
      <c r="O2325" s="2253">
        <f>K2325*$G2325</f>
        <v>0</v>
      </c>
      <c r="P2325" s="2430"/>
      <c r="Q2325" s="2255"/>
      <c r="R2325" s="2255"/>
      <c r="S2325" s="2255"/>
    </row>
    <row r="2326" spans="1:20" s="2094" customFormat="1" outlineLevel="1">
      <c r="A2326" s="2171" t="str">
        <f>IF(G2326&lt;&gt;0,1,"")</f>
        <v/>
      </c>
      <c r="B2326" s="2241" t="s">
        <v>1437</v>
      </c>
      <c r="C2326" s="2247"/>
      <c r="D2326" s="2141" t="s">
        <v>5342</v>
      </c>
      <c r="E2326" s="2183" t="s">
        <v>5343</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outlineLevel="1">
      <c r="A2327" s="2171" t="str">
        <f>IF(G2327&lt;&gt;0,1,"")</f>
        <v/>
      </c>
      <c r="B2327" s="2250"/>
      <c r="C2327" s="2247">
        <f>IF(G2327&gt;0,C2304+1,C2304)</f>
        <v>0</v>
      </c>
      <c r="D2327" s="2248"/>
      <c r="E2327" s="2251" t="s">
        <v>6259</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4.4" outlineLevel="1">
      <c r="A2328" s="2171" t="str">
        <f>A2327</f>
        <v/>
      </c>
      <c r="B2328" s="2250"/>
      <c r="C2328" s="2247"/>
      <c r="D2328" s="2248"/>
      <c r="E2328" s="2256" t="s">
        <v>6125</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outlineLevel="1">
      <c r="A2329" s="2171" t="str">
        <f>IF(G2329&lt;&gt;0,1,"")</f>
        <v/>
      </c>
      <c r="B2329" s="2250" t="s">
        <v>653</v>
      </c>
      <c r="C2329" s="2257"/>
      <c r="D2329" s="2141">
        <v>0</v>
      </c>
      <c r="E2329" s="2183" t="s">
        <v>5285</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outlineLevel="1">
      <c r="A2332" s="2171" t="str">
        <f>IF(G2332&lt;&gt;0,1,"")</f>
        <v/>
      </c>
      <c r="B2332" s="2250" t="s">
        <v>654</v>
      </c>
      <c r="C2332" s="2257"/>
      <c r="D2332" s="2141" t="s">
        <v>5467</v>
      </c>
      <c r="E2332" s="2183" t="s">
        <v>5470</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outlineLevel="1">
      <c r="A2333" s="2171" t="str">
        <f>IF(G2333&lt;&gt;0,1,"")</f>
        <v/>
      </c>
      <c r="B2333" s="2250"/>
      <c r="C2333" s="2247">
        <f>IF(G2333&gt;0,C2327+1,C2327)</f>
        <v>0</v>
      </c>
      <c r="D2333" s="2248"/>
      <c r="E2333" s="2365" t="s">
        <v>6201</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4.4" outlineLevel="1">
      <c r="A2334" s="2171" t="str">
        <f>A2333</f>
        <v/>
      </c>
      <c r="B2334" s="2250"/>
      <c r="C2334" s="2247"/>
      <c r="D2334" s="2248"/>
      <c r="E2334" s="2256" t="s">
        <v>6125</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outlineLevel="1">
      <c r="A2335" s="2171" t="str">
        <f>IF(G2335&lt;&gt;0,1,"")</f>
        <v/>
      </c>
      <c r="B2335" s="2110" t="s">
        <v>5639</v>
      </c>
      <c r="C2335" s="2257"/>
      <c r="D2335" s="2141" t="s">
        <v>5629</v>
      </c>
      <c r="E2335" s="2183" t="s">
        <v>5640</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outlineLevel="1">
      <c r="A2336" s="2171" t="str">
        <f>IF(G2336&lt;&gt;0,1,"")</f>
        <v/>
      </c>
      <c r="B2336" s="2250" t="s">
        <v>880</v>
      </c>
      <c r="C2336" s="2247"/>
      <c r="D2336" s="2141">
        <v>0</v>
      </c>
      <c r="E2336" s="2183" t="s">
        <v>5795</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outlineLevel="1">
      <c r="A2337" s="2171" t="str">
        <f>IF(G2337&lt;&gt;0,1,"")</f>
        <v/>
      </c>
      <c r="B2337" s="2250" t="s">
        <v>289</v>
      </c>
      <c r="C2337" s="2257"/>
      <c r="D2337" s="2141">
        <v>0</v>
      </c>
      <c r="E2337" s="2183" t="s">
        <v>5708</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outlineLevel="1">
      <c r="A2339" s="2171" t="str">
        <f t="shared" si="456"/>
        <v/>
      </c>
      <c r="B2339" s="2250"/>
      <c r="C2339" s="2247"/>
      <c r="D2339" s="2248"/>
      <c r="E2339" s="2365" t="s">
        <v>6202</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4.4" outlineLevel="1">
      <c r="A2340" s="2171" t="str">
        <f>A2339</f>
        <v/>
      </c>
      <c r="B2340" s="2538"/>
      <c r="C2340" s="2481"/>
      <c r="D2340" s="2482"/>
      <c r="E2340" s="2483" t="s">
        <v>6125</v>
      </c>
      <c r="F2340" s="2482"/>
      <c r="G2340" s="2539"/>
      <c r="H2340" s="2253"/>
      <c r="I2340" s="2253"/>
      <c r="J2340" s="2253"/>
      <c r="K2340" s="2253"/>
      <c r="L2340" s="2253"/>
      <c r="M2340" s="2253"/>
      <c r="N2340" s="2253"/>
      <c r="O2340" s="2253"/>
      <c r="P2340" s="2430"/>
      <c r="Q2340" s="2255"/>
      <c r="R2340" s="2255"/>
      <c r="S2340" s="2255"/>
    </row>
    <row r="2341" spans="1:19" s="2094" customFormat="1" outlineLevel="1">
      <c r="A2341" s="2171" t="str">
        <f t="shared" si="456"/>
        <v/>
      </c>
      <c r="B2341" s="2250" t="s">
        <v>6239</v>
      </c>
      <c r="C2341" s="2257"/>
      <c r="D2341" s="2141" t="s">
        <v>5651</v>
      </c>
      <c r="E2341" s="2183" t="s">
        <v>5655</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outlineLevel="1">
      <c r="A2342" s="2171" t="str">
        <f t="shared" si="456"/>
        <v/>
      </c>
      <c r="B2342" s="2250" t="s">
        <v>880</v>
      </c>
      <c r="C2342" s="2257"/>
      <c r="D2342" s="2141">
        <v>0</v>
      </c>
      <c r="E2342" s="2183" t="s">
        <v>5795</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outlineLevel="1">
      <c r="A2343" s="2171" t="str">
        <f t="shared" si="456"/>
        <v/>
      </c>
      <c r="B2343" s="2250" t="s">
        <v>289</v>
      </c>
      <c r="C2343" s="2257"/>
      <c r="D2343" s="2141">
        <v>0</v>
      </c>
      <c r="E2343" s="2183" t="s">
        <v>5708</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outlineLevel="1">
      <c r="A2345" s="2171" t="str">
        <f>IF(G2345&lt;&gt;0,1,"")</f>
        <v/>
      </c>
      <c r="B2345" s="2250"/>
      <c r="C2345" s="2247">
        <f>IF(G2345&gt;0,C2333+1,C2333)</f>
        <v>0</v>
      </c>
      <c r="D2345" s="2248"/>
      <c r="E2345" s="2249" t="s">
        <v>6255</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4.4" outlineLevel="1">
      <c r="A2346" s="2171" t="str">
        <f>A2345</f>
        <v/>
      </c>
      <c r="B2346" s="2250"/>
      <c r="C2346" s="2247"/>
      <c r="D2346" s="2248"/>
      <c r="E2346" s="2263" t="s">
        <v>6125</v>
      </c>
      <c r="F2346" s="2247"/>
      <c r="G2346" s="2366"/>
      <c r="H2346" s="2253"/>
      <c r="I2346" s="2253"/>
      <c r="J2346" s="2253"/>
      <c r="K2346" s="2253"/>
      <c r="L2346" s="2253"/>
      <c r="M2346" s="2253"/>
      <c r="N2346" s="2253"/>
      <c r="O2346" s="2253"/>
      <c r="P2346" s="2430"/>
      <c r="Q2346" s="2255"/>
      <c r="R2346" s="2255"/>
      <c r="S2346" s="2255"/>
    </row>
    <row r="2347" spans="1:19" s="2094" customFormat="1" outlineLevel="1">
      <c r="A2347" s="2171" t="str">
        <f>IF(G2347&lt;&gt;0,1,"")</f>
        <v/>
      </c>
      <c r="B2347" s="2241" t="s">
        <v>697</v>
      </c>
      <c r="C2347" s="2257"/>
      <c r="D2347" s="2141">
        <v>0</v>
      </c>
      <c r="E2347" s="2183" t="s">
        <v>5083</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outlineLevel="1">
      <c r="A2348" s="2171" t="str">
        <f>IF(G2348&lt;&gt;0,1,"")</f>
        <v/>
      </c>
      <c r="B2348" s="2346" t="s">
        <v>5695</v>
      </c>
      <c r="C2348" s="2257"/>
      <c r="D2348" s="2141">
        <v>0</v>
      </c>
      <c r="E2348" s="2183" t="s">
        <v>5696</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outlineLevel="1">
      <c r="A2349" s="2171" t="str">
        <f>IF(G2349&lt;&gt;0,1,"")</f>
        <v/>
      </c>
      <c r="B2349" s="2346" t="s">
        <v>5701</v>
      </c>
      <c r="C2349" s="2257"/>
      <c r="D2349" s="2141">
        <v>0</v>
      </c>
      <c r="E2349" s="2183" t="s">
        <v>5702</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outlineLevel="1">
      <c r="A2350" s="2171" t="str">
        <f>IF(G2350&lt;&gt;0,1,"")</f>
        <v/>
      </c>
      <c r="B2350" s="2346" t="s">
        <v>5703</v>
      </c>
      <c r="C2350" s="2257"/>
      <c r="D2350" s="2141">
        <v>0</v>
      </c>
      <c r="E2350" s="2183" t="s">
        <v>5704</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outlineLevel="1">
      <c r="A2351" s="2171" t="str">
        <f>IF(G2351&lt;&gt;0,1,"")</f>
        <v/>
      </c>
      <c r="B2351" s="2346" t="s">
        <v>6256</v>
      </c>
      <c r="C2351" s="2257"/>
      <c r="D2351" s="2141"/>
      <c r="E2351" s="2183" t="s">
        <v>5694</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outlineLevel="1">
      <c r="A2353" s="2171" t="str">
        <f t="shared" si="464"/>
        <v/>
      </c>
      <c r="B2353" s="2346" t="s">
        <v>1477</v>
      </c>
      <c r="C2353" s="2257"/>
      <c r="D2353" s="2141">
        <v>0</v>
      </c>
      <c r="E2353" s="2183" t="s">
        <v>6338</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outlineLevel="1">
      <c r="A2356" s="2171" t="str">
        <f t="shared" si="464"/>
        <v/>
      </c>
      <c r="B2356" s="2241" t="s">
        <v>1565</v>
      </c>
      <c r="C2356" s="2257"/>
      <c r="D2356" s="2141" t="s">
        <v>5556</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outlineLevel="1">
      <c r="A2357" s="2171" t="str">
        <f t="shared" si="464"/>
        <v/>
      </c>
      <c r="B2357" s="2241" t="s">
        <v>1525</v>
      </c>
      <c r="C2357" s="2257"/>
      <c r="D2357" s="2141" t="s">
        <v>5567</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4.4" outlineLevel="1">
      <c r="A2359" s="2171" t="str">
        <f>A2358</f>
        <v/>
      </c>
      <c r="B2359" s="2250"/>
      <c r="C2359" s="2247"/>
      <c r="D2359" s="2248"/>
      <c r="E2359" s="2263" t="s">
        <v>6125</v>
      </c>
      <c r="F2359" s="2247"/>
      <c r="G2359" s="2252"/>
      <c r="H2359" s="2253"/>
      <c r="I2359" s="2253"/>
      <c r="J2359" s="2253"/>
      <c r="K2359" s="2253"/>
      <c r="L2359" s="2253"/>
      <c r="M2359" s="2253"/>
      <c r="N2359" s="2253"/>
      <c r="O2359" s="2253"/>
      <c r="P2359" s="2254"/>
      <c r="Q2359" s="2255"/>
      <c r="R2359" s="2255"/>
      <c r="S2359" s="2255"/>
    </row>
    <row r="2360" spans="1:19" s="2094" customFormat="1"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outlineLevel="1">
      <c r="A2361" s="2171" t="str">
        <f>IF(G2361&lt;&gt;0,1,"")</f>
        <v/>
      </c>
      <c r="B2361" s="2250" t="s">
        <v>86</v>
      </c>
      <c r="C2361" s="2257"/>
      <c r="D2361" s="2141">
        <v>0</v>
      </c>
      <c r="E2361" s="2183" t="s">
        <v>5793</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outlineLevel="1">
      <c r="A2364" s="2171" t="str">
        <f>IF(G2364&lt;&gt;0,1,"")</f>
        <v/>
      </c>
      <c r="B2364" s="2241"/>
      <c r="C2364" s="2247">
        <f>IF(G2364&gt;0,C2358+1,C2358)</f>
        <v>0</v>
      </c>
      <c r="D2364" s="2248"/>
      <c r="E2364" s="2249" t="s">
        <v>6257</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4.4" outlineLevel="1">
      <c r="A2365" s="2171" t="str">
        <f>A2364</f>
        <v/>
      </c>
      <c r="B2365" s="2241"/>
      <c r="C2365" s="2247"/>
      <c r="D2365" s="2248"/>
      <c r="E2365" s="2263" t="s">
        <v>6125</v>
      </c>
      <c r="F2365" s="2247"/>
      <c r="G2365" s="2367"/>
      <c r="H2365" s="2253"/>
      <c r="I2365" s="2253"/>
      <c r="J2365" s="2253"/>
      <c r="K2365" s="2253"/>
      <c r="L2365" s="2253"/>
      <c r="M2365" s="2253"/>
      <c r="N2365" s="2253"/>
      <c r="O2365" s="2253"/>
      <c r="P2365" s="2430"/>
      <c r="Q2365" s="2255"/>
      <c r="R2365" s="2255"/>
      <c r="S2365" s="2255"/>
    </row>
    <row r="2366" spans="1:19" s="2094" customFormat="1" outlineLevel="1">
      <c r="A2366" s="2171" t="str">
        <f>IF(G2366&lt;&gt;0,1,"")</f>
        <v/>
      </c>
      <c r="B2366" s="2250" t="s">
        <v>6150</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outlineLevel="1">
      <c r="A2368" s="2171" t="str">
        <f>IF(G2368&lt;&gt;0,1,"")</f>
        <v/>
      </c>
      <c r="B2368" s="2250" t="s">
        <v>0</v>
      </c>
      <c r="C2368" s="2257"/>
      <c r="D2368" s="2141" t="s">
        <v>5725</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outlineLevel="1">
      <c r="A2369" s="2171" t="str">
        <f>IF(G2369&lt;&gt;0,1,"")</f>
        <v/>
      </c>
      <c r="B2369" s="2250" t="s">
        <v>6260</v>
      </c>
      <c r="C2369" s="2257"/>
      <c r="D2369" s="2141" t="s">
        <v>5728</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outlineLevel="1">
      <c r="A2373" s="2171">
        <f>IF(G2373=0,0,1)</f>
        <v>0</v>
      </c>
      <c r="B2373" s="2250" t="s">
        <v>6261</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outlineLevel="1">
      <c r="A2375" s="2171" t="str">
        <f t="shared" si="467"/>
        <v/>
      </c>
      <c r="B2375" s="2250" t="s">
        <v>4596</v>
      </c>
      <c r="C2375" s="2257"/>
      <c r="D2375" s="2141">
        <v>0</v>
      </c>
      <c r="E2375" s="2183" t="s">
        <v>5794</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outlineLevel="1">
      <c r="A2377" s="2171" t="str">
        <f t="shared" si="467"/>
        <v/>
      </c>
      <c r="B2377" s="2241" t="s">
        <v>6262</v>
      </c>
      <c r="C2377" s="2257"/>
      <c r="D2377" s="2141">
        <v>0</v>
      </c>
      <c r="E2377" s="2183" t="s">
        <v>5254</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outlineLevel="1">
      <c r="A2380" s="2171" t="str">
        <f>IF(G2380&lt;&gt;0,1,"")</f>
        <v/>
      </c>
      <c r="B2380" s="2110" t="s">
        <v>1740</v>
      </c>
      <c r="C2380" s="2257"/>
      <c r="D2380" s="2141">
        <v>0</v>
      </c>
      <c r="E2380" s="2183" t="s">
        <v>5791</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outlineLevel="1">
      <c r="A2382" s="2171" t="str">
        <f t="shared" si="467"/>
        <v/>
      </c>
      <c r="B2382" s="2241" t="s">
        <v>6</v>
      </c>
      <c r="C2382" s="2257"/>
      <c r="D2382" s="2141"/>
      <c r="E2382" s="2183" t="s">
        <v>3566</v>
      </c>
      <c r="F2382" s="2141" t="s">
        <v>5802</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outlineLevel="1">
      <c r="A2383" s="2171" t="str">
        <f t="shared" si="467"/>
        <v/>
      </c>
      <c r="B2383" s="2241" t="s">
        <v>672</v>
      </c>
      <c r="C2383" s="2257"/>
      <c r="D2383" s="2141">
        <v>0</v>
      </c>
      <c r="E2383" s="2183" t="s">
        <v>5797</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outlineLevel="1">
      <c r="A2384" s="2171" t="str">
        <f t="shared" si="467"/>
        <v/>
      </c>
      <c r="B2384" s="2241" t="s">
        <v>247</v>
      </c>
      <c r="C2384" s="2257"/>
      <c r="D2384" s="2141" t="s">
        <v>5569</v>
      </c>
      <c r="E2384" s="2183" t="s">
        <v>5570</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outlineLevel="1">
      <c r="A2385" s="2171"/>
      <c r="B2385" s="2346"/>
      <c r="C2385" s="2412"/>
      <c r="D2385" s="2413"/>
      <c r="E2385" s="2388"/>
      <c r="F2385" s="2626"/>
      <c r="G2385" s="2627"/>
      <c r="H2385" s="2626"/>
      <c r="I2385" s="2626"/>
      <c r="J2385" s="2636" t="s">
        <v>6123</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outlineLevel="1">
      <c r="A2388" s="2171">
        <f>A2386</f>
        <v>0</v>
      </c>
      <c r="B2388" s="2250" t="s">
        <v>6104</v>
      </c>
      <c r="C2388" s="2637" t="s">
        <v>1708</v>
      </c>
      <c r="D2388" s="2638" t="s">
        <v>2597</v>
      </c>
      <c r="E2388" s="2640" t="s">
        <v>2598</v>
      </c>
      <c r="F2388" s="2637" t="s">
        <v>2593</v>
      </c>
      <c r="G2388" s="2098" t="s">
        <v>6105</v>
      </c>
      <c r="H2388" s="2101" t="s">
        <v>6106</v>
      </c>
      <c r="I2388" s="2608"/>
      <c r="J2388" s="2608"/>
      <c r="K2388" s="2609"/>
      <c r="L2388" s="2101" t="s">
        <v>6107</v>
      </c>
      <c r="M2388" s="2608"/>
      <c r="N2388" s="2608"/>
      <c r="O2388" s="2609"/>
      <c r="P2388" s="2637" t="s">
        <v>2599</v>
      </c>
      <c r="Q2388" s="2255"/>
      <c r="R2388" s="2255"/>
      <c r="S2388" s="2255"/>
    </row>
    <row r="2389" spans="1:19" s="2094" customFormat="1" outlineLevel="1">
      <c r="A2389" s="2171">
        <f>A2388</f>
        <v>0</v>
      </c>
      <c r="B2389" s="2250"/>
      <c r="C2389" s="2637"/>
      <c r="D2389" s="2639"/>
      <c r="E2389" s="2641"/>
      <c r="F2389" s="2637"/>
      <c r="G2389" s="2100" t="s">
        <v>2286</v>
      </c>
      <c r="H2389" s="2101" t="s">
        <v>6108</v>
      </c>
      <c r="I2389" s="2101" t="s">
        <v>6109</v>
      </c>
      <c r="J2389" s="2101" t="s">
        <v>6110</v>
      </c>
      <c r="K2389" s="2101" t="s">
        <v>6111</v>
      </c>
      <c r="L2389" s="2101" t="s">
        <v>6108</v>
      </c>
      <c r="M2389" s="2101" t="s">
        <v>6109</v>
      </c>
      <c r="N2389" s="2101" t="s">
        <v>6110</v>
      </c>
      <c r="O2389" s="2101" t="s">
        <v>6111</v>
      </c>
      <c r="P2389" s="2637"/>
      <c r="Q2389" s="2255"/>
      <c r="R2389" s="2255"/>
      <c r="S2389" s="2255"/>
    </row>
    <row r="2390" spans="1:19" s="2094" customFormat="1"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outlineLevel="1">
      <c r="A2391" s="2171" t="str">
        <f t="shared" ref="A2391:A2402" si="473">IF(G2391&lt;&gt;0,1,"")</f>
        <v/>
      </c>
      <c r="B2391" s="2241" t="str">
        <f>IF($F$8=15,"tr630","tr6301")</f>
        <v>tr6301</v>
      </c>
      <c r="C2391" s="2257">
        <f>IF(G2391&gt;0,1,0)</f>
        <v>0</v>
      </c>
      <c r="D2391" s="2141" t="s">
        <v>5589</v>
      </c>
      <c r="E2391" s="2183" t="s">
        <v>6365</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outlineLevel="1">
      <c r="A2392" s="2171" t="str">
        <f t="shared" si="473"/>
        <v/>
      </c>
      <c r="B2392" s="2107" t="str">
        <f>"FCO100-"&amp;$F$8</f>
        <v>FCO100-22</v>
      </c>
      <c r="C2392" s="2257">
        <f t="shared" ref="C2392:C2397" si="478">IF(G2392&gt;0,C2391+1,C2391)</f>
        <v>0</v>
      </c>
      <c r="D2392" s="2141" t="s">
        <v>5594</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outlineLevel="1">
      <c r="A2393" s="2171" t="str">
        <f t="shared" si="473"/>
        <v/>
      </c>
      <c r="B2393" s="2241" t="s">
        <v>4501</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outlineLevel="1">
      <c r="A2394" s="2171" t="str">
        <f t="shared" si="473"/>
        <v/>
      </c>
      <c r="B2394" s="2250" t="str">
        <f>"LA"&amp;$F$6</f>
        <v>LA18</v>
      </c>
      <c r="C2394" s="2257">
        <f t="shared" si="478"/>
        <v>0</v>
      </c>
      <c r="D2394" s="2141" t="s">
        <v>5598</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outlineLevel="1">
      <c r="A2396" s="2171" t="str">
        <f>IF(G2396&lt;&gt;0,1,"")</f>
        <v/>
      </c>
      <c r="B2396" s="2346" t="s">
        <v>6208</v>
      </c>
      <c r="C2396" s="2257">
        <f t="shared" si="478"/>
        <v>0</v>
      </c>
      <c r="D2396" s="2141">
        <v>0</v>
      </c>
      <c r="E2396" s="2183" t="s">
        <v>5680</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outlineLevel="1">
      <c r="A2397" s="2171" t="str">
        <f>IF(G2397&lt;&gt;0,1,"")</f>
        <v/>
      </c>
      <c r="B2397" s="2346" t="s">
        <v>710</v>
      </c>
      <c r="C2397" s="2257">
        <f t="shared" si="478"/>
        <v>0</v>
      </c>
      <c r="D2397" s="2141">
        <v>0</v>
      </c>
      <c r="E2397" s="2183" t="s">
        <v>5678</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outlineLevel="1">
      <c r="A2399" s="2171" t="str">
        <f t="shared" si="473"/>
        <v/>
      </c>
      <c r="B2399" s="2346" t="s">
        <v>1463</v>
      </c>
      <c r="C2399" s="2257">
        <f>IF(G2399&gt;0,C2395+1,C2395)</f>
        <v>0</v>
      </c>
      <c r="D2399" s="2141" t="s">
        <v>1025</v>
      </c>
      <c r="E2399" s="2183" t="s">
        <v>5616</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outlineLevel="1">
      <c r="A2401" s="2171" t="str">
        <f t="shared" si="473"/>
        <v/>
      </c>
      <c r="B2401" s="2238" t="s">
        <v>2187</v>
      </c>
      <c r="C2401" s="2257">
        <f>IF(G2401&gt;0,C2399+1,C2399)</f>
        <v>0</v>
      </c>
      <c r="D2401" s="2141">
        <v>0</v>
      </c>
      <c r="E2401" s="2183" t="s">
        <v>5607</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outlineLevel="1">
      <c r="A2403" s="2171">
        <f>A2386</f>
        <v>0</v>
      </c>
      <c r="B2403" s="2250"/>
      <c r="C2403" s="2382"/>
      <c r="D2403" s="2383"/>
      <c r="E2403" s="2384"/>
      <c r="F2403" s="2382"/>
      <c r="G2403" s="2625"/>
      <c r="H2403" s="2382"/>
      <c r="I2403" s="2382"/>
      <c r="J2403" s="2106" t="s">
        <v>6113</v>
      </c>
      <c r="K2403" s="2382"/>
      <c r="L2403" s="2384">
        <f>SUM(L2391:L2402)</f>
        <v>0</v>
      </c>
      <c r="M2403" s="2384">
        <f>SUM(M2391:M2402)</f>
        <v>0</v>
      </c>
      <c r="N2403" s="2384">
        <f>SUM(N2391:N2402)</f>
        <v>0</v>
      </c>
      <c r="O2403" s="2384">
        <f>SUM(O2391:O2402)</f>
        <v>0</v>
      </c>
      <c r="P2403" s="2385"/>
      <c r="Q2403" s="2255"/>
      <c r="R2403" s="2255"/>
      <c r="S2403" s="2255"/>
    </row>
    <row r="2404" spans="1:19" s="2094" customFormat="1"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outlineLevel="1">
      <c r="A2405" s="2171" t="str">
        <f t="shared" ref="A2405:A2423" si="479">IF(G2405&lt;&gt;0,1,"")</f>
        <v/>
      </c>
      <c r="B2405" s="2390"/>
      <c r="C2405" s="2391">
        <f>IF(G2405&gt;0,1,0)</f>
        <v>0</v>
      </c>
      <c r="D2405" s="2141"/>
      <c r="E2405" s="2392" t="s">
        <v>6114</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outlineLevel="1">
      <c r="A2409" s="2171" t="str">
        <f t="shared" si="479"/>
        <v/>
      </c>
      <c r="B2409" s="2390"/>
      <c r="C2409" s="2391">
        <f>IF(G2409&gt;0,1,0)</f>
        <v>0</v>
      </c>
      <c r="D2409" s="2141"/>
      <c r="E2409" s="2392" t="s">
        <v>6209</v>
      </c>
      <c r="F2409" s="2393" t="s">
        <v>2277</v>
      </c>
      <c r="G2409" s="2394"/>
      <c r="H2409" s="2393"/>
      <c r="I2409" s="2393"/>
      <c r="J2409" s="2393"/>
      <c r="K2409" s="2393"/>
      <c r="L2409" s="2394"/>
      <c r="M2409" s="2394"/>
      <c r="N2409" s="2394"/>
      <c r="O2409" s="2395"/>
      <c r="P2409" s="2254"/>
      <c r="Q2409" s="2255"/>
      <c r="R2409" s="2255"/>
      <c r="S2409" s="2255"/>
    </row>
    <row r="2410" spans="1:19" s="2094" customFormat="1"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outlineLevel="1">
      <c r="A2414" s="2171" t="str">
        <f t="shared" si="479"/>
        <v/>
      </c>
      <c r="B2414" s="2346" t="s">
        <v>636</v>
      </c>
      <c r="C2414" s="2396"/>
      <c r="D2414" s="2141" t="s">
        <v>5043</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outlineLevel="1">
      <c r="A2415" s="2171" t="str">
        <f t="shared" si="479"/>
        <v/>
      </c>
      <c r="B2415" s="2346" t="s">
        <v>566</v>
      </c>
      <c r="C2415" s="2396"/>
      <c r="D2415" s="2141"/>
      <c r="E2415" s="2397" t="s">
        <v>5068</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outlineLevel="1">
      <c r="A2416" s="2171" t="str">
        <f t="shared" si="479"/>
        <v/>
      </c>
      <c r="B2416" s="2346" t="s">
        <v>639</v>
      </c>
      <c r="C2416" s="2396"/>
      <c r="D2416" s="2141" t="s">
        <v>1747</v>
      </c>
      <c r="E2416" s="2397" t="s">
        <v>5320</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outlineLevel="1">
      <c r="A2417" s="2171" t="str">
        <f t="shared" si="479"/>
        <v/>
      </c>
      <c r="B2417" s="2346" t="s">
        <v>21</v>
      </c>
      <c r="C2417" s="2396"/>
      <c r="D2417" s="2141" t="s">
        <v>5321</v>
      </c>
      <c r="E2417" s="2397" t="s">
        <v>5322</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outlineLevel="1">
      <c r="A2419" s="2171" t="str">
        <f t="shared" si="479"/>
        <v/>
      </c>
      <c r="B2419" s="2346" t="s">
        <v>636</v>
      </c>
      <c r="C2419" s="2396"/>
      <c r="D2419" s="2141" t="s">
        <v>5043</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outlineLevel="1">
      <c r="A2420" s="2171" t="str">
        <f t="shared" si="479"/>
        <v/>
      </c>
      <c r="B2420" s="2346" t="s">
        <v>566</v>
      </c>
      <c r="C2420" s="2396"/>
      <c r="D2420" s="2141"/>
      <c r="E2420" s="2397" t="s">
        <v>5068</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outlineLevel="1">
      <c r="A2421" s="2171" t="str">
        <f t="shared" si="479"/>
        <v/>
      </c>
      <c r="B2421" s="2346" t="s">
        <v>639</v>
      </c>
      <c r="C2421" s="2396"/>
      <c r="D2421" s="2141" t="s">
        <v>1747</v>
      </c>
      <c r="E2421" s="2397" t="s">
        <v>5320</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outlineLevel="1">
      <c r="A2422" s="2171" t="str">
        <f t="shared" si="479"/>
        <v/>
      </c>
      <c r="B2422" s="2346" t="s">
        <v>21</v>
      </c>
      <c r="C2422" s="2396"/>
      <c r="D2422" s="2141" t="s">
        <v>5321</v>
      </c>
      <c r="E2422" s="2397" t="s">
        <v>5322</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4.4" outlineLevel="1">
      <c r="A2424" s="2171" t="str">
        <f>A2423</f>
        <v/>
      </c>
      <c r="B2424" s="2250"/>
      <c r="C2424" s="2247"/>
      <c r="D2424" s="2403"/>
      <c r="E2424" s="2256" t="s">
        <v>6125</v>
      </c>
      <c r="F2424" s="2257"/>
      <c r="G2424" s="2258"/>
      <c r="H2424" s="2404"/>
      <c r="I2424" s="2404"/>
      <c r="J2424" s="2404"/>
      <c r="K2424" s="2404"/>
      <c r="L2424" s="2404"/>
      <c r="M2424" s="2404"/>
      <c r="N2424" s="2404"/>
      <c r="O2424" s="2404"/>
      <c r="P2424" s="2254"/>
      <c r="Q2424" s="2255"/>
      <c r="R2424" s="2255"/>
      <c r="S2424" s="2255"/>
    </row>
    <row r="2425" spans="1:19" s="2094" customFormat="1" outlineLevel="1">
      <c r="A2425" s="2171" t="str">
        <f t="shared" ref="A2425:A2433" si="480">IF(G2425&lt;&gt;0,1,"")</f>
        <v/>
      </c>
      <c r="B2425" s="2241" t="s">
        <v>1408</v>
      </c>
      <c r="C2425" s="2247"/>
      <c r="D2425" s="2141">
        <v>0</v>
      </c>
      <c r="E2425" s="2183" t="s">
        <v>6345</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outlineLevel="1">
      <c r="A2426" s="2171" t="str">
        <f t="shared" si="480"/>
        <v/>
      </c>
      <c r="B2426" s="2241" t="s">
        <v>1137</v>
      </c>
      <c r="C2426" s="2247"/>
      <c r="D2426" s="2141">
        <v>0</v>
      </c>
      <c r="E2426" s="2183" t="s">
        <v>6331</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outlineLevel="1">
      <c r="A2427" s="2171" t="str">
        <f t="shared" si="480"/>
        <v/>
      </c>
      <c r="B2427" s="2241" t="s">
        <v>1138</v>
      </c>
      <c r="C2427" s="2247"/>
      <c r="D2427" s="2141">
        <v>0</v>
      </c>
      <c r="E2427" s="2183" t="s">
        <v>6332</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outlineLevel="1">
      <c r="A2431" s="2171" t="str">
        <f>IF(G2431&lt;&gt;0,1,"")</f>
        <v/>
      </c>
      <c r="B2431" s="2241" t="s">
        <v>2242</v>
      </c>
      <c r="C2431" s="2247"/>
      <c r="D2431" s="2141" t="s">
        <v>5440</v>
      </c>
      <c r="E2431" s="2183" t="s">
        <v>6333</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outlineLevel="1">
      <c r="A2432" s="2171" t="str">
        <f>IF(G2432&lt;&gt;0,1,"")</f>
        <v/>
      </c>
      <c r="B2432" s="2241" t="s">
        <v>6210</v>
      </c>
      <c r="C2432" s="2247"/>
      <c r="D2432" s="2141" t="s">
        <v>5374</v>
      </c>
      <c r="E2432" s="2183" t="s">
        <v>6335</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outlineLevel="1">
      <c r="A2433" s="2171" t="str">
        <f t="shared" si="480"/>
        <v/>
      </c>
      <c r="B2433" s="2250"/>
      <c r="C2433" s="2247">
        <f>IF(G2433&gt;0,C2423+1,C2423)</f>
        <v>0</v>
      </c>
      <c r="D2433" s="2248"/>
      <c r="E2433" s="2406" t="s">
        <v>6263</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4.4" outlineLevel="1">
      <c r="A2434" s="2171" t="str">
        <f>A2433</f>
        <v/>
      </c>
      <c r="B2434" s="2250"/>
      <c r="C2434" s="2247"/>
      <c r="D2434" s="2141"/>
      <c r="E2434" s="2256" t="s">
        <v>6125</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outlineLevel="1">
      <c r="A2439" s="2171" t="str">
        <f t="shared" si="485"/>
        <v/>
      </c>
      <c r="B2439" s="2250" t="s">
        <v>2242</v>
      </c>
      <c r="C2439" s="2247"/>
      <c r="D2439" s="2141" t="s">
        <v>5440</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outlineLevel="1">
      <c r="A2440" s="2171" t="str">
        <f>IF(G2440&lt;&gt;0,1,"")</f>
        <v/>
      </c>
      <c r="B2440" s="2250"/>
      <c r="C2440" s="2247">
        <f>IF(G2440&gt;0,C2433+1,C2433)</f>
        <v>0</v>
      </c>
      <c r="D2440" s="2248"/>
      <c r="E2440" s="2406" t="s">
        <v>6211</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4.4" outlineLevel="1">
      <c r="A2441" s="2171" t="str">
        <f>A2440</f>
        <v/>
      </c>
      <c r="B2441" s="2250"/>
      <c r="C2441" s="2247"/>
      <c r="D2441" s="2248"/>
      <c r="E2441" s="2256" t="s">
        <v>6125</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outlineLevel="1">
      <c r="A2442" s="2171" t="str">
        <f>IF(G2442&lt;&gt;0,1,"")</f>
        <v/>
      </c>
      <c r="B2442" s="2122" t="s">
        <v>5151</v>
      </c>
      <c r="C2442" s="2247"/>
      <c r="D2442" s="2141">
        <v>0</v>
      </c>
      <c r="E2442" s="2183" t="s">
        <v>5152</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outlineLevel="1">
      <c r="A2443" s="2171" t="str">
        <f>IF(G2443&lt;&gt;0,1,"")</f>
        <v/>
      </c>
      <c r="B2443" s="2119" t="s">
        <v>488</v>
      </c>
      <c r="C2443" s="2247"/>
      <c r="D2443" s="2141">
        <v>0</v>
      </c>
      <c r="E2443" s="2183" t="s">
        <v>5074</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outlineLevel="1">
      <c r="A2445" s="2171" t="str">
        <f>IF(G2445&lt;&gt;0,1,"")</f>
        <v/>
      </c>
      <c r="B2445" s="2241" t="s">
        <v>2242</v>
      </c>
      <c r="C2445" s="2247"/>
      <c r="D2445" s="2141" t="s">
        <v>5440</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outlineLevel="1">
      <c r="A2446" s="2171" t="str">
        <f t="shared" si="485"/>
        <v/>
      </c>
      <c r="B2446" s="2250"/>
      <c r="C2446" s="2247">
        <f>IF(G2446&gt;0,C2440+1,C2440)</f>
        <v>0</v>
      </c>
      <c r="D2446" s="2248"/>
      <c r="E2446" s="2406" t="s">
        <v>6212</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4.4" outlineLevel="1">
      <c r="A2447" s="2171" t="str">
        <f>A2446</f>
        <v/>
      </c>
      <c r="B2447" s="2250"/>
      <c r="C2447" s="2247"/>
      <c r="D2447" s="2248"/>
      <c r="E2447" s="2256" t="s">
        <v>6125</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outlineLevel="1">
      <c r="A2450" s="2171" t="str">
        <f>IF(G2450&lt;&gt;0,1,"")</f>
        <v/>
      </c>
      <c r="B2450" s="2250" t="s">
        <v>2242</v>
      </c>
      <c r="C2450" s="2247"/>
      <c r="D2450" s="2141" t="s">
        <v>5440</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outlineLevel="1">
      <c r="A2451" s="2171" t="str">
        <f>IF(G2451&lt;&gt;0,1,"")</f>
        <v/>
      </c>
      <c r="B2451" s="2250"/>
      <c r="C2451" s="2247">
        <f>IF(G2451&gt;0,C2446+1,C2446)</f>
        <v>0</v>
      </c>
      <c r="D2451" s="2248"/>
      <c r="E2451" s="2406" t="s">
        <v>6213</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4.4" outlineLevel="1">
      <c r="A2452" s="2171" t="str">
        <f>A2451</f>
        <v/>
      </c>
      <c r="B2452" s="2250"/>
      <c r="C2452" s="2247"/>
      <c r="D2452" s="2248"/>
      <c r="E2452" s="2256" t="s">
        <v>6125</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outlineLevel="1">
      <c r="A2455" s="2171" t="str">
        <f>IF(G2455&lt;&gt;0,1,"")</f>
        <v/>
      </c>
      <c r="B2455" s="2250" t="s">
        <v>2242</v>
      </c>
      <c r="C2455" s="2247"/>
      <c r="D2455" s="2141" t="s">
        <v>5440</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outlineLevel="1">
      <c r="A2456" s="2171" t="str">
        <f>IF(G2456&lt;&gt;0,1,"")</f>
        <v/>
      </c>
      <c r="B2456" s="2250" t="s">
        <v>217</v>
      </c>
      <c r="C2456" s="2247"/>
      <c r="D2456" s="2141" t="s">
        <v>5340</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4.4" outlineLevel="1">
      <c r="A2458" s="2171" t="str">
        <f>A2457</f>
        <v/>
      </c>
      <c r="B2458" s="2250"/>
      <c r="C2458" s="2247"/>
      <c r="D2458" s="2248"/>
      <c r="E2458" s="2256" t="s">
        <v>6125</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outlineLevel="1">
      <c r="A2460" s="2171" t="str">
        <f t="shared" si="487"/>
        <v/>
      </c>
      <c r="B2460" s="2250" t="s">
        <v>1035</v>
      </c>
      <c r="C2460" s="2247"/>
      <c r="D2460" s="2141">
        <v>0</v>
      </c>
      <c r="E2460" s="2183" t="s">
        <v>6366</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outlineLevel="1">
      <c r="A2464" s="2171" t="str">
        <f t="shared" si="487"/>
        <v/>
      </c>
      <c r="B2464" s="2250" t="s">
        <v>517</v>
      </c>
      <c r="C2464" s="2247"/>
      <c r="D2464" s="2141" t="s">
        <v>5426</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outlineLevel="1">
      <c r="A2465" s="2171" t="str">
        <f t="shared" si="487"/>
        <v/>
      </c>
      <c r="B2465" s="2250"/>
      <c r="C2465" s="2247">
        <f>IF(G2465&gt;0,C2457+1,C2457)</f>
        <v>0</v>
      </c>
      <c r="D2465" s="2248"/>
      <c r="E2465" s="2406" t="s">
        <v>6231</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4.4" outlineLevel="1">
      <c r="A2466" s="2171" t="str">
        <f>A2465</f>
        <v/>
      </c>
      <c r="B2466" s="2250"/>
      <c r="C2466" s="2247"/>
      <c r="D2466" s="2248"/>
      <c r="E2466" s="2256" t="s">
        <v>6125</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outlineLevel="1">
      <c r="A2468" s="2171" t="str">
        <f t="shared" si="488"/>
        <v/>
      </c>
      <c r="B2468" s="2250" t="s">
        <v>1035</v>
      </c>
      <c r="C2468" s="2247"/>
      <c r="D2468" s="2141">
        <v>0</v>
      </c>
      <c r="E2468" s="2183" t="s">
        <v>6366</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outlineLevel="1">
      <c r="A2472" s="2171" t="str">
        <f t="shared" si="488"/>
        <v/>
      </c>
      <c r="B2472" s="2250" t="s">
        <v>988</v>
      </c>
      <c r="C2472" s="2247"/>
      <c r="D2472" s="2141">
        <v>0</v>
      </c>
      <c r="E2472" s="2183" t="s">
        <v>5266</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outlineLevel="1">
      <c r="A2473" s="2171" t="str">
        <f t="shared" si="488"/>
        <v/>
      </c>
      <c r="B2473" s="2250" t="s">
        <v>1440</v>
      </c>
      <c r="C2473" s="2247"/>
      <c r="D2473" s="2141" t="s">
        <v>5417</v>
      </c>
      <c r="E2473" s="2183" t="s">
        <v>5418</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4.4" outlineLevel="1">
      <c r="A2475" s="2171" t="str">
        <f>+A2474</f>
        <v/>
      </c>
      <c r="B2475" s="2407"/>
      <c r="C2475" s="2247"/>
      <c r="D2475" s="2248"/>
      <c r="E2475" s="2256" t="s">
        <v>6125</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outlineLevel="1">
      <c r="A2477" s="2171" t="str">
        <f t="shared" si="489"/>
        <v/>
      </c>
      <c r="B2477" s="2241" t="s">
        <v>1508</v>
      </c>
      <c r="C2477" s="2247"/>
      <c r="D2477" s="2141">
        <v>0</v>
      </c>
      <c r="E2477" s="2183" t="s">
        <v>5159</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outlineLevel="1">
      <c r="A2481" s="2171" t="str">
        <f t="shared" si="489"/>
        <v/>
      </c>
      <c r="B2481" s="2241" t="s">
        <v>525</v>
      </c>
      <c r="C2481" s="2247"/>
      <c r="D2481" s="2141">
        <v>0</v>
      </c>
      <c r="E2481" s="2183" t="s">
        <v>5248</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outlineLevel="1">
      <c r="A2482" s="2171" t="str">
        <f t="shared" si="489"/>
        <v/>
      </c>
      <c r="B2482" s="2241" t="s">
        <v>1585</v>
      </c>
      <c r="C2482" s="2247"/>
      <c r="D2482" s="2141">
        <v>0</v>
      </c>
      <c r="E2482" s="2183" t="s">
        <v>5709</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outlineLevel="1">
      <c r="A2483" s="2171">
        <f>IF(G2483=0,0,1)</f>
        <v>0</v>
      </c>
      <c r="B2483" s="2241" t="s">
        <v>794</v>
      </c>
      <c r="C2483" s="2257"/>
      <c r="D2483" s="2141" t="s">
        <v>5332</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outlineLevel="1">
      <c r="A2484" s="2171">
        <f>IF(G2484=0,0,1)</f>
        <v>0</v>
      </c>
      <c r="B2484" s="2241" t="s">
        <v>798</v>
      </c>
      <c r="C2484" s="2257"/>
      <c r="D2484" s="2141" t="s">
        <v>5321</v>
      </c>
      <c r="E2484" s="2183" t="s">
        <v>5333</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outlineLevel="1">
      <c r="A2485" s="2171">
        <f>IF(G2485=0,0,1)</f>
        <v>0</v>
      </c>
      <c r="B2485" s="2241" t="s">
        <v>902</v>
      </c>
      <c r="C2485" s="2257"/>
      <c r="D2485" s="2141" t="s">
        <v>5347</v>
      </c>
      <c r="E2485" s="2183" t="s">
        <v>5348</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outlineLevel="1">
      <c r="A2486" s="2171" t="str">
        <f>IF(G2486&lt;&gt;0,1,"")</f>
        <v/>
      </c>
      <c r="B2486" s="2241" t="s">
        <v>1437</v>
      </c>
      <c r="C2486" s="2247"/>
      <c r="D2486" s="2141" t="s">
        <v>5342</v>
      </c>
      <c r="E2486" s="2183" t="s">
        <v>5343</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outlineLevel="1">
      <c r="A2487" s="2171" t="str">
        <f>IF(G2487&lt;&gt;0,1,"")</f>
        <v/>
      </c>
      <c r="B2487" s="2250"/>
      <c r="C2487" s="2247">
        <f>IF(G2487&gt;0,C2474+1,C2474)</f>
        <v>0</v>
      </c>
      <c r="D2487" s="2248"/>
      <c r="E2487" s="2251" t="s">
        <v>6214</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4.4" outlineLevel="1">
      <c r="A2488" s="2171" t="str">
        <f>A2487</f>
        <v/>
      </c>
      <c r="B2488" s="2250"/>
      <c r="C2488" s="2247"/>
      <c r="D2488" s="2248"/>
      <c r="E2488" s="2256" t="s">
        <v>6125</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outlineLevel="1">
      <c r="A2489" s="2171" t="str">
        <f>IF(G2489&lt;&gt;0,1,"")</f>
        <v/>
      </c>
      <c r="B2489" s="2250" t="s">
        <v>653</v>
      </c>
      <c r="C2489" s="2257"/>
      <c r="D2489" s="2141">
        <v>0</v>
      </c>
      <c r="E2489" s="2183" t="s">
        <v>5285</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outlineLevel="1">
      <c r="A2492" s="2171" t="str">
        <f>IF(G2492&lt;&gt;0,1,"")</f>
        <v/>
      </c>
      <c r="B2492" s="2250" t="s">
        <v>654</v>
      </c>
      <c r="C2492" s="2257"/>
      <c r="D2492" s="2141" t="s">
        <v>5467</v>
      </c>
      <c r="E2492" s="2183" t="s">
        <v>5470</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outlineLevel="1">
      <c r="A2493" s="2171" t="str">
        <f>IF(G2493&lt;&gt;0,1,"")</f>
        <v/>
      </c>
      <c r="B2493" s="2250"/>
      <c r="C2493" s="2247">
        <f>IF(G2493&gt;0,C2487+1,C2487)</f>
        <v>0</v>
      </c>
      <c r="D2493" s="2248"/>
      <c r="E2493" s="2365" t="s">
        <v>6201</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4.4" outlineLevel="1">
      <c r="A2494" s="2171" t="str">
        <f>A2493</f>
        <v/>
      </c>
      <c r="B2494" s="2250"/>
      <c r="C2494" s="2247"/>
      <c r="D2494" s="2248"/>
      <c r="E2494" s="2256" t="s">
        <v>6125</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outlineLevel="1">
      <c r="A2495" s="2171" t="str">
        <f>IF(G2495&lt;&gt;0,1,"")</f>
        <v/>
      </c>
      <c r="B2495" s="2250" t="s">
        <v>5639</v>
      </c>
      <c r="C2495" s="2257"/>
      <c r="D2495" s="2141" t="s">
        <v>5629</v>
      </c>
      <c r="E2495" s="2183" t="s">
        <v>5640</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outlineLevel="1">
      <c r="A2496" s="2171" t="str">
        <f>IF(G2496&lt;&gt;0,1,"")</f>
        <v/>
      </c>
      <c r="B2496" s="2250" t="s">
        <v>880</v>
      </c>
      <c r="C2496" s="2247"/>
      <c r="D2496" s="2141">
        <v>0</v>
      </c>
      <c r="E2496" s="2183" t="s">
        <v>5795</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outlineLevel="1">
      <c r="A2497" s="2171" t="str">
        <f>IF(G2497&lt;&gt;0,1,"")</f>
        <v/>
      </c>
      <c r="B2497" s="2250" t="s">
        <v>289</v>
      </c>
      <c r="C2497" s="2257"/>
      <c r="D2497" s="2141">
        <v>0</v>
      </c>
      <c r="E2497" s="2183" t="s">
        <v>5708</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4.4" outlineLevel="1">
      <c r="A2499" s="2171" t="str">
        <f>A2498</f>
        <v/>
      </c>
      <c r="B2499" s="2250"/>
      <c r="C2499" s="2247"/>
      <c r="D2499" s="2248"/>
      <c r="E2499" s="2256" t="s">
        <v>6125</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outlineLevel="1">
      <c r="A2500" s="2171" t="str">
        <f t="shared" ref="A2500:A2508" si="497">IF(G2500&lt;&gt;0,1,"")</f>
        <v/>
      </c>
      <c r="B2500" s="2543" t="s">
        <v>752</v>
      </c>
      <c r="C2500" s="2257"/>
      <c r="D2500" s="2141">
        <v>0</v>
      </c>
      <c r="E2500" s="2348" t="s">
        <v>6367</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outlineLevel="1">
      <c r="A2501" s="2171" t="str">
        <f t="shared" si="497"/>
        <v/>
      </c>
      <c r="B2501" s="2543" t="s">
        <v>520</v>
      </c>
      <c r="C2501" s="2257"/>
      <c r="D2501" s="2141">
        <v>0</v>
      </c>
      <c r="E2501" s="2348" t="s">
        <v>6368</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outlineLevel="1">
      <c r="A2502" s="2171" t="str">
        <f t="shared" si="497"/>
        <v/>
      </c>
      <c r="B2502" s="2543" t="s">
        <v>1675</v>
      </c>
      <c r="C2502" s="2257"/>
      <c r="D2502" s="2141">
        <v>0</v>
      </c>
      <c r="E2502" s="2348" t="s">
        <v>6369</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outlineLevel="1">
      <c r="A2503" s="2171" t="str">
        <f t="shared" si="497"/>
        <v/>
      </c>
      <c r="B2503" s="2543" t="s">
        <v>1676</v>
      </c>
      <c r="C2503" s="2257"/>
      <c r="D2503" s="2141" t="s">
        <v>5286</v>
      </c>
      <c r="E2503" s="2348" t="s">
        <v>6370</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outlineLevel="1">
      <c r="A2505" s="2171" t="str">
        <f t="shared" si="497"/>
        <v/>
      </c>
      <c r="B2505" s="2543" t="s">
        <v>1678</v>
      </c>
      <c r="C2505" s="2257"/>
      <c r="D2505" s="2141" t="s">
        <v>5329</v>
      </c>
      <c r="E2505" s="2348" t="s">
        <v>6371</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outlineLevel="1">
      <c r="A2506" s="2171" t="str">
        <f t="shared" si="497"/>
        <v/>
      </c>
      <c r="B2506" s="2543" t="s">
        <v>144</v>
      </c>
      <c r="C2506" s="2257"/>
      <c r="D2506" s="2141" t="s">
        <v>5323</v>
      </c>
      <c r="E2506" s="2348" t="s">
        <v>6372</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outlineLevel="1">
      <c r="A2507" s="2171" t="str">
        <f t="shared" si="497"/>
        <v/>
      </c>
      <c r="B2507" s="2543" t="s">
        <v>529</v>
      </c>
      <c r="C2507" s="2257"/>
      <c r="D2507" s="2141" t="s">
        <v>5328</v>
      </c>
      <c r="E2507" s="2348" t="s">
        <v>6373</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4.4" outlineLevel="1">
      <c r="A2509" s="2171" t="str">
        <f>A2508</f>
        <v/>
      </c>
      <c r="B2509" s="2250"/>
      <c r="C2509" s="2247"/>
      <c r="D2509" s="2248"/>
      <c r="E2509" s="2256" t="s">
        <v>6125</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outlineLevel="1">
      <c r="A2510" s="2171" t="str">
        <f t="shared" ref="A2510:A2517" si="499">IF(G2510&lt;&gt;0,1,"")</f>
        <v/>
      </c>
      <c r="B2510" s="2250" t="s">
        <v>623</v>
      </c>
      <c r="C2510" s="2257"/>
      <c r="D2510" s="2141" t="s">
        <v>5301</v>
      </c>
      <c r="E2510" s="2183" t="s">
        <v>5302</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outlineLevel="1">
      <c r="A2515" s="2171" t="str">
        <f t="shared" si="499"/>
        <v/>
      </c>
      <c r="B2515" s="2250" t="s">
        <v>1410</v>
      </c>
      <c r="C2515" s="2247"/>
      <c r="D2515" s="2141" t="s">
        <v>5337</v>
      </c>
      <c r="E2515" s="2183" t="s">
        <v>5338</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outlineLevel="1">
      <c r="A2516" s="2171" t="str">
        <f t="shared" si="499"/>
        <v/>
      </c>
      <c r="B2516" s="2250" t="s">
        <v>289</v>
      </c>
      <c r="C2516" s="2257"/>
      <c r="D2516" s="2141">
        <v>0</v>
      </c>
      <c r="E2516" s="2183" t="s">
        <v>5708</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4.4" outlineLevel="1">
      <c r="A2518" s="2171" t="str">
        <f>A2517</f>
        <v/>
      </c>
      <c r="B2518" s="2250"/>
      <c r="C2518" s="2247"/>
      <c r="D2518" s="2248"/>
      <c r="E2518" s="2263" t="s">
        <v>6125</v>
      </c>
      <c r="F2518" s="2247"/>
      <c r="G2518" s="2252"/>
      <c r="H2518" s="2253"/>
      <c r="I2518" s="2253"/>
      <c r="J2518" s="2253"/>
      <c r="K2518" s="2253"/>
      <c r="L2518" s="2253"/>
      <c r="M2518" s="2253"/>
      <c r="N2518" s="2253">
        <f t="shared" si="498"/>
        <v>0</v>
      </c>
      <c r="O2518" s="2253"/>
      <c r="P2518" s="2254"/>
      <c r="Q2518" s="2255"/>
      <c r="R2518" s="2255"/>
      <c r="S2518" s="2255"/>
    </row>
    <row r="2519" spans="1:19" s="2094" customFormat="1" outlineLevel="1">
      <c r="A2519" s="2171" t="str">
        <f>IF(G2519&lt;&gt;0,1,"")</f>
        <v/>
      </c>
      <c r="B2519" s="2241" t="s">
        <v>470</v>
      </c>
      <c r="C2519" s="2257"/>
      <c r="D2519" s="2141">
        <v>0</v>
      </c>
      <c r="E2519" s="2183" t="s">
        <v>6374</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outlineLevel="1">
      <c r="A2520" s="2171" t="str">
        <f>IF(G2520&lt;&gt;0,1,"")</f>
        <v/>
      </c>
      <c r="B2520" s="2241" t="s">
        <v>271</v>
      </c>
      <c r="C2520" s="2257"/>
      <c r="D2520" s="2141">
        <v>0</v>
      </c>
      <c r="E2520" s="2183" t="s">
        <v>6375</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outlineLevel="1">
      <c r="A2521" s="2171" t="str">
        <f t="shared" ref="A2521:A2527" si="500">IF(G2521&lt;&gt;0,1,"")</f>
        <v/>
      </c>
      <c r="B2521" s="2241" t="s">
        <v>271</v>
      </c>
      <c r="C2521" s="2257"/>
      <c r="D2521" s="2141">
        <v>0</v>
      </c>
      <c r="E2521" s="2183" t="s">
        <v>6376</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outlineLevel="1">
      <c r="A2523" s="2171" t="str">
        <f t="shared" si="500"/>
        <v/>
      </c>
      <c r="B2523" s="2241" t="s">
        <v>470</v>
      </c>
      <c r="C2523" s="2257"/>
      <c r="D2523" s="2141">
        <v>0</v>
      </c>
      <c r="E2523" s="2183" t="s">
        <v>6377</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outlineLevel="1">
      <c r="A2524" s="2171" t="str">
        <f t="shared" si="500"/>
        <v/>
      </c>
      <c r="B2524" s="2241" t="s">
        <v>271</v>
      </c>
      <c r="C2524" s="2257"/>
      <c r="D2524" s="2141">
        <v>0</v>
      </c>
      <c r="E2524" s="2183" t="s">
        <v>6378</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outlineLevel="1">
      <c r="A2526" s="2171" t="str">
        <f t="shared" si="500"/>
        <v/>
      </c>
      <c r="B2526" s="2241" t="s">
        <v>1674</v>
      </c>
      <c r="C2526" s="2257"/>
      <c r="D2526" s="2141" t="s">
        <v>5455</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outlineLevel="1">
      <c r="A2529" s="2171" t="str">
        <f>IF(G2529&lt;&gt;0,1,"")</f>
        <v/>
      </c>
      <c r="B2529" s="2241" t="s">
        <v>1525</v>
      </c>
      <c r="C2529" s="2257"/>
      <c r="D2529" s="2141" t="s">
        <v>5567</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outlineLevel="1">
      <c r="A2531" s="2171" t="str">
        <f>IF(G2531&lt;&gt;0,1,"")</f>
        <v/>
      </c>
      <c r="B2531" s="2250"/>
      <c r="C2531" s="2247">
        <f>IF(G2531&gt;0,C2517+1,C2517)</f>
        <v>0</v>
      </c>
      <c r="D2531" s="2248"/>
      <c r="E2531" s="2249" t="s">
        <v>6255</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4.4" outlineLevel="1">
      <c r="A2532" s="2171" t="str">
        <f>A2531</f>
        <v/>
      </c>
      <c r="B2532" s="2250"/>
      <c r="C2532" s="2247"/>
      <c r="D2532" s="2248"/>
      <c r="E2532" s="2263" t="s">
        <v>6125</v>
      </c>
      <c r="F2532" s="2247"/>
      <c r="G2532" s="2252"/>
      <c r="H2532" s="2253"/>
      <c r="I2532" s="2253"/>
      <c r="J2532" s="2253"/>
      <c r="K2532" s="2253"/>
      <c r="L2532" s="2253"/>
      <c r="M2532" s="2253"/>
      <c r="N2532" s="2253">
        <f t="shared" si="498"/>
        <v>0</v>
      </c>
      <c r="O2532" s="2253"/>
      <c r="P2532" s="2378"/>
      <c r="Q2532" s="2255"/>
      <c r="R2532" s="2255"/>
      <c r="S2532" s="2255"/>
    </row>
    <row r="2533" spans="1:19" s="2094" customFormat="1" outlineLevel="1">
      <c r="A2533" s="2171" t="str">
        <f>IF(G2533&lt;&gt;0,1,"")</f>
        <v/>
      </c>
      <c r="B2533" s="2241" t="s">
        <v>6264</v>
      </c>
      <c r="C2533" s="2257"/>
      <c r="D2533" s="2141">
        <v>0</v>
      </c>
      <c r="E2533" s="2183" t="s">
        <v>5078</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outlineLevel="1">
      <c r="A2534" s="2171" t="str">
        <f>IF(G2534&lt;&gt;0,1,"")</f>
        <v/>
      </c>
      <c r="B2534" s="2346" t="s">
        <v>5695</v>
      </c>
      <c r="C2534" s="2257"/>
      <c r="D2534" s="2141">
        <v>0</v>
      </c>
      <c r="E2534" s="2183" t="s">
        <v>5696</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outlineLevel="1">
      <c r="A2535" s="2171" t="str">
        <f>IF(G2535&lt;&gt;0,1,"")</f>
        <v/>
      </c>
      <c r="B2535" s="2346" t="s">
        <v>5701</v>
      </c>
      <c r="C2535" s="2257"/>
      <c r="D2535" s="2141">
        <v>0</v>
      </c>
      <c r="E2535" s="2183" t="s">
        <v>5702</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outlineLevel="1">
      <c r="A2536" s="2171" t="str">
        <f>IF(G2536&lt;&gt;0,1,"")</f>
        <v/>
      </c>
      <c r="B2536" s="2346" t="s">
        <v>5703</v>
      </c>
      <c r="C2536" s="2257"/>
      <c r="D2536" s="2141">
        <v>0</v>
      </c>
      <c r="E2536" s="2183" t="s">
        <v>5704</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outlineLevel="1">
      <c r="A2538" s="2171" t="str">
        <f t="shared" si="506"/>
        <v/>
      </c>
      <c r="B2538" s="2346" t="s">
        <v>1477</v>
      </c>
      <c r="C2538" s="2257"/>
      <c r="D2538" s="2141">
        <v>0</v>
      </c>
      <c r="E2538" s="2183" t="s">
        <v>6338</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outlineLevel="1">
      <c r="A2541" s="2171" t="str">
        <f t="shared" si="506"/>
        <v/>
      </c>
      <c r="B2541" s="2241" t="s">
        <v>1565</v>
      </c>
      <c r="C2541" s="2257"/>
      <c r="D2541" s="2141" t="s">
        <v>5556</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outlineLevel="1">
      <c r="A2542" s="2171" t="str">
        <f t="shared" si="506"/>
        <v/>
      </c>
      <c r="B2542" s="2241" t="s">
        <v>1525</v>
      </c>
      <c r="C2542" s="2257"/>
      <c r="D2542" s="2141" t="s">
        <v>5567</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4.4" outlineLevel="1">
      <c r="A2544" s="2171" t="str">
        <f>A2543</f>
        <v/>
      </c>
      <c r="B2544" s="2250"/>
      <c r="C2544" s="2247"/>
      <c r="D2544" s="2248"/>
      <c r="E2544" s="2263" t="s">
        <v>6125</v>
      </c>
      <c r="F2544" s="2247"/>
      <c r="G2544" s="2252"/>
      <c r="H2544" s="2253"/>
      <c r="I2544" s="2253"/>
      <c r="J2544" s="2253"/>
      <c r="K2544" s="2253"/>
      <c r="L2544" s="2253"/>
      <c r="M2544" s="2253"/>
      <c r="N2544" s="2253">
        <f t="shared" si="498"/>
        <v>0</v>
      </c>
      <c r="O2544" s="2253"/>
      <c r="P2544" s="2254"/>
      <c r="Q2544" s="2255"/>
      <c r="R2544" s="2255"/>
      <c r="S2544" s="2255"/>
    </row>
    <row r="2545" spans="1:19" s="2094" customFormat="1"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outlineLevel="1">
      <c r="A2546" s="2171" t="str">
        <f>IF(G2546&lt;&gt;0,1,"")</f>
        <v/>
      </c>
      <c r="B2546" s="2250" t="s">
        <v>86</v>
      </c>
      <c r="C2546" s="2257"/>
      <c r="D2546" s="2141">
        <v>0</v>
      </c>
      <c r="E2546" s="2183" t="s">
        <v>5793</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4.4" outlineLevel="1">
      <c r="A2550" s="2171" t="str">
        <f>A2549</f>
        <v/>
      </c>
      <c r="B2550" s="2241"/>
      <c r="C2550" s="2247"/>
      <c r="D2550" s="2248"/>
      <c r="E2550" s="2263" t="s">
        <v>6125</v>
      </c>
      <c r="F2550" s="2247"/>
      <c r="G2550" s="2258"/>
      <c r="H2550" s="2253"/>
      <c r="I2550" s="2253"/>
      <c r="J2550" s="2253"/>
      <c r="K2550" s="2253"/>
      <c r="L2550" s="2253"/>
      <c r="M2550" s="2253"/>
      <c r="N2550" s="2253">
        <f t="shared" si="498"/>
        <v>0</v>
      </c>
      <c r="O2550" s="2253"/>
      <c r="P2550" s="2378"/>
      <c r="Q2550" s="2255"/>
      <c r="R2550" s="2255"/>
      <c r="S2550" s="2255"/>
    </row>
    <row r="2551" spans="1:19" s="2094" customFormat="1" outlineLevel="1">
      <c r="A2551" s="2171" t="str">
        <f t="shared" ref="A2551:A2563" si="508">IF(G2551&lt;&gt;0,1,"")</f>
        <v/>
      </c>
      <c r="B2551" s="2250" t="s">
        <v>4754</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outlineLevel="1">
      <c r="A2553" s="2171" t="str">
        <f t="shared" si="508"/>
        <v/>
      </c>
      <c r="B2553" s="2250" t="s">
        <v>2156</v>
      </c>
      <c r="C2553" s="2257"/>
      <c r="D2553" s="2141" t="s">
        <v>5727</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outlineLevel="1">
      <c r="A2556" s="2171" t="str">
        <f t="shared" si="508"/>
        <v/>
      </c>
      <c r="B2556" s="2241" t="s">
        <v>731</v>
      </c>
      <c r="C2556" s="2257"/>
      <c r="D2556" s="2141">
        <v>0</v>
      </c>
      <c r="E2556" s="2183" t="s">
        <v>5254</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outlineLevel="1">
      <c r="A2560" s="2171" t="str">
        <f t="shared" si="508"/>
        <v/>
      </c>
      <c r="B2560" s="2241" t="s">
        <v>6</v>
      </c>
      <c r="C2560" s="2257"/>
      <c r="D2560" s="2141"/>
      <c r="E2560" s="2183" t="s">
        <v>3566</v>
      </c>
      <c r="F2560" s="2141" t="s">
        <v>5802</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outlineLevel="1">
      <c r="A2562" s="2171" t="str">
        <f t="shared" si="508"/>
        <v/>
      </c>
      <c r="B2562" s="2241" t="s">
        <v>672</v>
      </c>
      <c r="C2562" s="2257"/>
      <c r="D2562" s="2141">
        <v>0</v>
      </c>
      <c r="E2562" s="2183" t="s">
        <v>5797</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outlineLevel="1">
      <c r="A2563" s="2171" t="str">
        <f t="shared" si="508"/>
        <v/>
      </c>
      <c r="B2563" s="2241" t="s">
        <v>247</v>
      </c>
      <c r="C2563" s="2257"/>
      <c r="D2563" s="2141" t="s">
        <v>5569</v>
      </c>
      <c r="E2563" s="2183" t="s">
        <v>5570</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outlineLevel="1">
      <c r="A2564" s="2171" t="str">
        <f>IF(G2564&lt;&gt;0,1,"")</f>
        <v/>
      </c>
      <c r="B2564" s="2241"/>
      <c r="C2564" s="2247">
        <f>IF(G2564&gt;0,C2549+1,C2549)</f>
        <v>0</v>
      </c>
      <c r="D2564" s="2248"/>
      <c r="E2564" s="2249" t="s">
        <v>6245</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4.4" outlineLevel="1">
      <c r="A2565" s="2171" t="str">
        <f>A2564</f>
        <v/>
      </c>
      <c r="B2565" s="2489"/>
      <c r="C2565" s="2247"/>
      <c r="D2565" s="2248"/>
      <c r="E2565" s="2263" t="s">
        <v>6125</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outlineLevel="1">
      <c r="A2567" s="2171">
        <f>IF(G2567=0,0,1)</f>
        <v>0</v>
      </c>
      <c r="B2567" s="2241" t="s">
        <v>6246</v>
      </c>
      <c r="C2567" s="2257"/>
      <c r="D2567" s="2141">
        <v>0</v>
      </c>
      <c r="E2567" s="2348" t="s">
        <v>5049</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outlineLevel="1">
      <c r="A2568" s="2171">
        <f>IF(G2568=0,0,1)</f>
        <v>0</v>
      </c>
      <c r="B2568" s="2241" t="s">
        <v>6247</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outlineLevel="1">
      <c r="A2569" s="2171">
        <f t="shared" ref="A2569:A2586" si="514">IF(G2569=0,0,1)</f>
        <v>0</v>
      </c>
      <c r="B2569" s="2250" t="s">
        <v>246</v>
      </c>
      <c r="C2569" s="2378"/>
      <c r="D2569" s="2141">
        <v>0</v>
      </c>
      <c r="E2569" s="2348" t="s">
        <v>5865</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outlineLevel="1">
      <c r="A2570" s="2171">
        <f t="shared" si="514"/>
        <v>0</v>
      </c>
      <c r="B2570" s="2250" t="s">
        <v>5730</v>
      </c>
      <c r="C2570" s="2257"/>
      <c r="D2570" s="2141" t="s">
        <v>5720</v>
      </c>
      <c r="E2570" s="2348" t="s">
        <v>5731</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outlineLevel="1">
      <c r="A2578" s="2171">
        <f t="shared" si="514"/>
        <v>0</v>
      </c>
      <c r="B2578" s="2241" t="s">
        <v>672</v>
      </c>
      <c r="C2578" s="2257"/>
      <c r="D2578" s="2141">
        <v>0</v>
      </c>
      <c r="E2578" s="2348" t="s">
        <v>5797</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outlineLevel="1">
      <c r="A2581" s="2171">
        <f t="shared" si="514"/>
        <v>0</v>
      </c>
      <c r="B2581" s="2241" t="s">
        <v>319</v>
      </c>
      <c r="C2581" s="2257"/>
      <c r="D2581" s="2141">
        <v>0</v>
      </c>
      <c r="E2581" s="2348" t="s">
        <v>5265</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outlineLevel="1">
      <c r="A2582" s="2171">
        <f t="shared" si="514"/>
        <v>0</v>
      </c>
      <c r="B2582" s="2241" t="s">
        <v>1915</v>
      </c>
      <c r="C2582" s="2257"/>
      <c r="D2582" s="2141" t="s">
        <v>5651</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outlineLevel="1">
      <c r="A2583" s="2171">
        <f t="shared" si="514"/>
        <v>0</v>
      </c>
      <c r="B2583" s="2241" t="s">
        <v>6</v>
      </c>
      <c r="C2583" s="2257"/>
      <c r="D2583" s="2141">
        <v>0</v>
      </c>
      <c r="E2583" s="2348" t="s">
        <v>3566</v>
      </c>
      <c r="F2583" s="2490" t="s">
        <v>5802</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outlineLevel="1">
      <c r="A2586" s="2171">
        <f t="shared" si="514"/>
        <v>0</v>
      </c>
      <c r="B2586" s="2241" t="s">
        <v>6247</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outlineLevel="1">
      <c r="A2587" s="2171">
        <f>A2386</f>
        <v>0</v>
      </c>
      <c r="B2587" s="2346"/>
      <c r="C2587" s="2412"/>
      <c r="D2587" s="2413"/>
      <c r="E2587" s="2388"/>
      <c r="F2587" s="2626"/>
      <c r="G2587" s="2545"/>
      <c r="H2587" s="2626"/>
      <c r="I2587" s="2626"/>
      <c r="J2587" s="2636" t="s">
        <v>6123</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outlineLevel="1">
      <c r="A2591" s="2171">
        <f>A2589</f>
        <v>1</v>
      </c>
      <c r="B2591" s="2250" t="s">
        <v>6104</v>
      </c>
      <c r="C2591" s="2637" t="s">
        <v>1708</v>
      </c>
      <c r="D2591" s="2638" t="s">
        <v>2597</v>
      </c>
      <c r="E2591" s="2640" t="s">
        <v>2598</v>
      </c>
      <c r="F2591" s="2637" t="s">
        <v>2593</v>
      </c>
      <c r="G2591" s="2098" t="s">
        <v>6105</v>
      </c>
      <c r="H2591" s="2101" t="s">
        <v>6106</v>
      </c>
      <c r="I2591" s="2608"/>
      <c r="J2591" s="2608"/>
      <c r="K2591" s="2609"/>
      <c r="L2591" s="2101" t="s">
        <v>6107</v>
      </c>
      <c r="M2591" s="2608"/>
      <c r="N2591" s="2608"/>
      <c r="O2591" s="2609"/>
      <c r="P2591" s="2637" t="s">
        <v>2599</v>
      </c>
      <c r="Q2591" s="2255"/>
      <c r="R2591" s="2255"/>
      <c r="S2591" s="2255"/>
    </row>
    <row r="2592" spans="1:19" s="2094" customFormat="1" outlineLevel="1">
      <c r="A2592" s="2171">
        <f>A2591</f>
        <v>1</v>
      </c>
      <c r="B2592" s="2250"/>
      <c r="C2592" s="2637"/>
      <c r="D2592" s="2639"/>
      <c r="E2592" s="2641"/>
      <c r="F2592" s="2637"/>
      <c r="G2592" s="2100" t="s">
        <v>2286</v>
      </c>
      <c r="H2592" s="2101" t="s">
        <v>6108</v>
      </c>
      <c r="I2592" s="2101" t="s">
        <v>6109</v>
      </c>
      <c r="J2592" s="2101" t="s">
        <v>6110</v>
      </c>
      <c r="K2592" s="2101" t="s">
        <v>6111</v>
      </c>
      <c r="L2592" s="2101" t="s">
        <v>6108</v>
      </c>
      <c r="M2592" s="2101" t="s">
        <v>6109</v>
      </c>
      <c r="N2592" s="2101" t="s">
        <v>6110</v>
      </c>
      <c r="O2592" s="2101" t="s">
        <v>6111</v>
      </c>
      <c r="P2592" s="2637"/>
      <c r="Q2592" s="2255"/>
      <c r="R2592" s="2255"/>
      <c r="S2592" s="2255"/>
    </row>
    <row r="2593" spans="1:19" s="2094" customFormat="1"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outlineLevel="1">
      <c r="A2594" s="2171">
        <f t="shared" ref="A2594:A2606" si="516">IF(G2594&lt;&gt;0,1,"")</f>
        <v>1</v>
      </c>
      <c r="B2594" s="2241" t="s">
        <v>1413</v>
      </c>
      <c r="C2594" s="2257">
        <f>IF(G2594&gt;0,1,0)</f>
        <v>1</v>
      </c>
      <c r="D2594" s="2141" t="s">
        <v>5590</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outlineLevel="1">
      <c r="A2595" s="2171">
        <f t="shared" si="516"/>
        <v>1</v>
      </c>
      <c r="B2595" s="2107" t="str">
        <f>"FCO100-"&amp;$F$8</f>
        <v>FCO100-22</v>
      </c>
      <c r="C2595" s="2257">
        <f>IF(G2595&gt;0,C2594+1,C2594)</f>
        <v>2</v>
      </c>
      <c r="D2595" s="2141" t="s">
        <v>5594</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outlineLevel="1">
      <c r="A2596" s="2171">
        <f t="shared" si="516"/>
        <v>1</v>
      </c>
      <c r="B2596" s="2241" t="s">
        <v>6265</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outlineLevel="1">
      <c r="A2597" s="2171">
        <f t="shared" si="516"/>
        <v>1</v>
      </c>
      <c r="B2597" s="2250" t="str">
        <f>"LA"&amp;$F$6</f>
        <v>LA18</v>
      </c>
      <c r="C2597" s="2257">
        <f>IF(G2597&gt;0,C2596+1,C2596)</f>
        <v>4</v>
      </c>
      <c r="D2597" s="2141" t="s">
        <v>5598</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outlineLevel="1">
      <c r="A2598" s="2171">
        <f t="shared" si="516"/>
        <v>1</v>
      </c>
      <c r="B2598" s="2346" t="s">
        <v>6266</v>
      </c>
      <c r="C2598" s="2257">
        <f>IF(G2598&gt;0,C2597+1,C2597)</f>
        <v>5</v>
      </c>
      <c r="D2598" s="2141">
        <v>0</v>
      </c>
      <c r="E2598" s="2183" t="s">
        <v>5686</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outlineLevel="1">
      <c r="A2599" s="2171" t="str">
        <f>IF(G2599&lt;&gt;0,1,"")</f>
        <v/>
      </c>
      <c r="B2599" s="2346" t="s">
        <v>710</v>
      </c>
      <c r="C2599" s="2257">
        <f>IF(G2599&gt;0,C2597+1,C2597)</f>
        <v>4</v>
      </c>
      <c r="D2599" s="2141">
        <v>0</v>
      </c>
      <c r="E2599" s="2183" t="s">
        <v>5678</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outlineLevel="1">
      <c r="A2600" s="2171" t="str">
        <f>IF(G2600&lt;&gt;0,1,"")</f>
        <v/>
      </c>
      <c r="B2600" s="2346" t="s">
        <v>710</v>
      </c>
      <c r="C2600" s="2257">
        <f t="shared" ref="C2600:C2606" si="521">IF(G2600&gt;0,C2598+1,C2598)</f>
        <v>5</v>
      </c>
      <c r="D2600" s="2141">
        <v>0</v>
      </c>
      <c r="E2600" s="2183" t="s">
        <v>5678</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outlineLevel="1">
      <c r="A2602" s="2171" t="str">
        <f t="shared" si="516"/>
        <v/>
      </c>
      <c r="B2602" s="2346" t="s">
        <v>936</v>
      </c>
      <c r="C2602" s="2257">
        <f t="shared" si="521"/>
        <v>5</v>
      </c>
      <c r="D2602" s="2141">
        <v>0</v>
      </c>
      <c r="E2602" s="2183" t="s">
        <v>5675</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outlineLevel="1">
      <c r="A2603" s="2171">
        <v>1</v>
      </c>
      <c r="B2603" s="2346" t="s">
        <v>6267</v>
      </c>
      <c r="C2603" s="2257">
        <f t="shared" si="521"/>
        <v>5</v>
      </c>
      <c r="D2603" s="2141" t="s">
        <v>1025</v>
      </c>
      <c r="E2603" s="2183" t="s">
        <v>5614</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outlineLevel="1">
      <c r="A2605" s="2171">
        <f t="shared" si="516"/>
        <v>1</v>
      </c>
      <c r="B2605" s="2238" t="s">
        <v>2187</v>
      </c>
      <c r="C2605" s="2257">
        <f t="shared" si="521"/>
        <v>6</v>
      </c>
      <c r="D2605" s="2141">
        <v>0</v>
      </c>
      <c r="E2605" s="2183" t="s">
        <v>5607</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outlineLevel="1">
      <c r="A2606" s="2171">
        <f t="shared" si="516"/>
        <v>1</v>
      </c>
      <c r="B2606" s="2241" t="s">
        <v>1837</v>
      </c>
      <c r="C2606" s="2257">
        <f t="shared" si="521"/>
        <v>7</v>
      </c>
      <c r="D2606" s="2141">
        <v>0</v>
      </c>
      <c r="E2606" s="2183" t="s">
        <v>5705</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outlineLevel="1">
      <c r="A2607" s="2171"/>
      <c r="B2607" s="2250"/>
      <c r="C2607" s="2382"/>
      <c r="D2607" s="2383"/>
      <c r="E2607" s="2384"/>
      <c r="F2607" s="2382"/>
      <c r="G2607" s="2625"/>
      <c r="H2607" s="2382"/>
      <c r="I2607" s="2382"/>
      <c r="J2607" s="2106" t="s">
        <v>6113</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outlineLevel="1">
      <c r="A2609" s="2171"/>
      <c r="B2609" s="2390"/>
      <c r="C2609" s="2391">
        <f>IF(G2609&gt;0,1,0)</f>
        <v>0</v>
      </c>
      <c r="D2609" s="2141"/>
      <c r="E2609" s="2392" t="s">
        <v>6114</v>
      </c>
      <c r="F2609" s="2393" t="s">
        <v>2277</v>
      </c>
      <c r="G2609" s="2394"/>
      <c r="H2609" s="2393"/>
      <c r="I2609" s="2393"/>
      <c r="J2609" s="2393"/>
      <c r="K2609" s="2393"/>
      <c r="L2609" s="2394"/>
      <c r="M2609" s="2394"/>
      <c r="N2609" s="2394"/>
      <c r="O2609" s="2395"/>
      <c r="P2609" s="2378"/>
      <c r="Q2609" s="2255"/>
      <c r="R2609" s="2255"/>
      <c r="S2609" s="2255"/>
    </row>
    <row r="2610" spans="1:19" s="2094" customFormat="1" outlineLevel="1">
      <c r="A2610" s="2171"/>
      <c r="B2610" s="2346" t="s">
        <v>5271</v>
      </c>
      <c r="C2610" s="2396"/>
      <c r="D2610" s="2141"/>
      <c r="E2610" s="2397" t="s">
        <v>5272</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outlineLevel="1">
      <c r="A2613" s="2171" t="str">
        <f t="shared" ref="A2613:A2629" si="522">IF(G2613&lt;&gt;0,1,"")</f>
        <v/>
      </c>
      <c r="B2613" s="2390"/>
      <c r="C2613" s="2391">
        <f>IF(G2613&gt;0,1,0)</f>
        <v>0</v>
      </c>
      <c r="D2613" s="2141"/>
      <c r="E2613" s="2392" t="s">
        <v>6209</v>
      </c>
      <c r="F2613" s="2393" t="s">
        <v>2277</v>
      </c>
      <c r="G2613" s="2394"/>
      <c r="H2613" s="2393"/>
      <c r="I2613" s="2393"/>
      <c r="J2613" s="2393"/>
      <c r="K2613" s="2393"/>
      <c r="L2613" s="2394"/>
      <c r="M2613" s="2394"/>
      <c r="N2613" s="2394"/>
      <c r="O2613" s="2395"/>
      <c r="P2613" s="2254"/>
      <c r="Q2613" s="2255"/>
      <c r="R2613" s="2255"/>
      <c r="S2613" s="2255"/>
    </row>
    <row r="2614" spans="1:19" s="2094" customFormat="1"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outlineLevel="1">
      <c r="A2618" s="2171"/>
      <c r="B2618" s="2462" t="s">
        <v>751</v>
      </c>
      <c r="C2618" s="2396"/>
      <c r="D2618" s="2141">
        <v>0</v>
      </c>
      <c r="E2618" s="2397" t="s">
        <v>5285</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outlineLevel="1">
      <c r="A2621" s="2171"/>
      <c r="B2621" s="2462" t="s">
        <v>6094</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outlineLevel="1">
      <c r="A2622" s="2171"/>
      <c r="B2622" s="2462" t="s">
        <v>4833</v>
      </c>
      <c r="C2622" s="2396"/>
      <c r="D2622" s="2141"/>
      <c r="E2622" s="2397" t="s">
        <v>4638</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outlineLevel="1">
      <c r="A2623" s="2171"/>
      <c r="B2623" s="2547" t="s">
        <v>5317</v>
      </c>
      <c r="C2623" s="2396"/>
      <c r="D2623" s="2141"/>
      <c r="E2623" s="2397" t="s">
        <v>5319</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outlineLevel="1">
      <c r="A2624" s="2171"/>
      <c r="B2624" s="2462" t="s">
        <v>1835</v>
      </c>
      <c r="C2624" s="2396"/>
      <c r="D2624" s="2141"/>
      <c r="E2624" s="2397" t="s">
        <v>5469</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outlineLevel="1">
      <c r="A2626" s="2171" t="str">
        <f t="shared" si="522"/>
        <v/>
      </c>
      <c r="B2626" s="2346" t="s">
        <v>636</v>
      </c>
      <c r="C2626" s="2396"/>
      <c r="D2626" s="2141" t="s">
        <v>5043</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outlineLevel="1">
      <c r="A2627" s="2171" t="str">
        <f t="shared" si="522"/>
        <v/>
      </c>
      <c r="B2627" s="2346" t="s">
        <v>566</v>
      </c>
      <c r="C2627" s="2396"/>
      <c r="D2627" s="2141"/>
      <c r="E2627" s="2397" t="s">
        <v>5068</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outlineLevel="1">
      <c r="A2628" s="2171" t="str">
        <f t="shared" si="522"/>
        <v/>
      </c>
      <c r="B2628" s="2346" t="s">
        <v>639</v>
      </c>
      <c r="C2628" s="2396"/>
      <c r="D2628" s="2141" t="s">
        <v>1747</v>
      </c>
      <c r="E2628" s="2397" t="s">
        <v>5320</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outlineLevel="1">
      <c r="A2629" s="2171" t="str">
        <f t="shared" si="522"/>
        <v/>
      </c>
      <c r="B2629" s="2346" t="s">
        <v>21</v>
      </c>
      <c r="C2629" s="2396"/>
      <c r="D2629" s="2141" t="s">
        <v>5321</v>
      </c>
      <c r="E2629" s="2397" t="s">
        <v>5322</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outlineLevel="1">
      <c r="A2630" s="2171">
        <f>IF(G2630&lt;&gt;0,1,"")</f>
        <v>1</v>
      </c>
      <c r="B2630" s="2250"/>
      <c r="C2630" s="2452">
        <f>IF(G2630&gt;0,C2625+1,C2625)</f>
        <v>1</v>
      </c>
      <c r="D2630" s="2470"/>
      <c r="E2630" s="2454" t="s">
        <v>6229</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4.4" outlineLevel="1">
      <c r="A2631" s="2171">
        <f>A2630</f>
        <v>1</v>
      </c>
      <c r="B2631" s="2250"/>
      <c r="C2631" s="2247"/>
      <c r="D2631" s="2248"/>
      <c r="E2631" s="2256" t="s">
        <v>6125</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outlineLevel="1">
      <c r="A2632" s="2171">
        <f t="shared" ref="A2632:A2637" si="530">IF(G2632&lt;&gt;0,1,"")</f>
        <v>1</v>
      </c>
      <c r="B2632" s="2122" t="s">
        <v>5147</v>
      </c>
      <c r="C2632" s="2247"/>
      <c r="D2632" s="2141">
        <v>0</v>
      </c>
      <c r="E2632" s="2183" t="s">
        <v>5148</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outlineLevel="1">
      <c r="A2633" s="2171">
        <f t="shared" si="530"/>
        <v>1</v>
      </c>
      <c r="B2633" s="2548" t="s">
        <v>5154</v>
      </c>
      <c r="C2633" s="2247"/>
      <c r="D2633" s="2141">
        <v>0</v>
      </c>
      <c r="E2633" s="2183" t="s">
        <v>5155</v>
      </c>
      <c r="F2633" s="2141" t="s">
        <v>5156</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outlineLevel="1">
      <c r="A2634" s="2171">
        <f t="shared" si="530"/>
        <v>1</v>
      </c>
      <c r="B2634" s="2119" t="s">
        <v>488</v>
      </c>
      <c r="C2634" s="2247"/>
      <c r="D2634" s="2141">
        <v>0</v>
      </c>
      <c r="E2634" s="2183" t="s">
        <v>5074</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outlineLevel="1">
      <c r="A2637" s="2171">
        <f t="shared" si="530"/>
        <v>1</v>
      </c>
      <c r="B2637" s="2241" t="s">
        <v>2242</v>
      </c>
      <c r="C2637" s="2247"/>
      <c r="D2637" s="2141" t="s">
        <v>5440</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outlineLevel="1" collapsed="1">
      <c r="A2638" s="2171">
        <f>IF(G2638&lt;&gt;0,1,"")</f>
        <v>1</v>
      </c>
      <c r="B2638" s="2250"/>
      <c r="C2638" s="2452">
        <f>IF(G2638&gt;0,C2630+1,C2630)</f>
        <v>2</v>
      </c>
      <c r="D2638" s="2470"/>
      <c r="E2638" s="2454" t="s">
        <v>6268</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4.4" outlineLevel="1">
      <c r="A2639" s="2171">
        <f>A2638</f>
        <v>1</v>
      </c>
      <c r="B2639" s="2250"/>
      <c r="C2639" s="2247"/>
      <c r="D2639" s="2248"/>
      <c r="E2639" s="2256" t="s">
        <v>6125</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outlineLevel="1">
      <c r="A2641" s="2171">
        <f t="shared" si="531"/>
        <v>1</v>
      </c>
      <c r="B2641" s="2250" t="s">
        <v>1035</v>
      </c>
      <c r="C2641" s="2247"/>
      <c r="D2641" s="2141">
        <v>0</v>
      </c>
      <c r="E2641" s="2183" t="s">
        <v>6379</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outlineLevel="1">
      <c r="A2645" s="2171">
        <f t="shared" si="531"/>
        <v>1</v>
      </c>
      <c r="B2645" s="2250" t="s">
        <v>517</v>
      </c>
      <c r="C2645" s="2247"/>
      <c r="D2645" s="2141" t="s">
        <v>5426</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outlineLevel="1">
      <c r="A2646" s="2171">
        <f t="shared" si="531"/>
        <v>1</v>
      </c>
      <c r="B2646" s="2250"/>
      <c r="C2646" s="2452">
        <f>IF(G2646&gt;0,C2638+1,C2638)</f>
        <v>3</v>
      </c>
      <c r="D2646" s="2470"/>
      <c r="E2646" s="2454" t="s">
        <v>6269</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4.4" outlineLevel="1">
      <c r="A2647" s="2171">
        <f>A2646</f>
        <v>1</v>
      </c>
      <c r="B2647" s="2250"/>
      <c r="C2647" s="2247"/>
      <c r="D2647" s="2248"/>
      <c r="E2647" s="2256" t="s">
        <v>6125</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outlineLevel="1">
      <c r="A2649" s="2171">
        <f t="shared" si="532"/>
        <v>1</v>
      </c>
      <c r="B2649" s="2250" t="s">
        <v>1035</v>
      </c>
      <c r="C2649" s="2247"/>
      <c r="D2649" s="2141">
        <v>0</v>
      </c>
      <c r="E2649" s="2183" t="s">
        <v>6379</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outlineLevel="1">
      <c r="A2653" s="2171" t="str">
        <f t="shared" si="532"/>
        <v/>
      </c>
      <c r="B2653" s="2250" t="s">
        <v>988</v>
      </c>
      <c r="C2653" s="2247"/>
      <c r="D2653" s="2141">
        <v>0</v>
      </c>
      <c r="E2653" s="2183" t="s">
        <v>5266</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outlineLevel="1">
      <c r="A2654" s="2171">
        <f t="shared" si="532"/>
        <v>1</v>
      </c>
      <c r="B2654" s="2250" t="s">
        <v>1440</v>
      </c>
      <c r="C2654" s="2247"/>
      <c r="D2654" s="2141" t="s">
        <v>5417</v>
      </c>
      <c r="E2654" s="2183" t="s">
        <v>5418</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4.4" outlineLevel="1">
      <c r="A2656" s="2171">
        <f>+A2655</f>
        <v>1</v>
      </c>
      <c r="B2656" s="2407"/>
      <c r="C2656" s="2247"/>
      <c r="D2656" s="2248"/>
      <c r="E2656" s="2256" t="s">
        <v>6125</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outlineLevel="1">
      <c r="A2658" s="2171">
        <f t="shared" si="534"/>
        <v>1</v>
      </c>
      <c r="B2658" s="2241" t="s">
        <v>1508</v>
      </c>
      <c r="C2658" s="2247"/>
      <c r="D2658" s="2141">
        <v>0</v>
      </c>
      <c r="E2658" s="2183" t="s">
        <v>5159</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outlineLevel="1">
      <c r="A2662" s="2171" t="str">
        <f t="shared" si="534"/>
        <v/>
      </c>
      <c r="B2662" s="2241" t="s">
        <v>525</v>
      </c>
      <c r="C2662" s="2247"/>
      <c r="D2662" s="2141">
        <v>0</v>
      </c>
      <c r="E2662" s="2183" t="s">
        <v>5248</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outlineLevel="1">
      <c r="A2663" s="2171" t="str">
        <f t="shared" si="534"/>
        <v/>
      </c>
      <c r="B2663" s="2241" t="s">
        <v>1585</v>
      </c>
      <c r="C2663" s="2247"/>
      <c r="D2663" s="2141">
        <v>0</v>
      </c>
      <c r="E2663" s="2183" t="s">
        <v>5709</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outlineLevel="1">
      <c r="A2664" s="2171">
        <f>IF(G2664=0,0,1)</f>
        <v>1</v>
      </c>
      <c r="B2664" s="2241" t="s">
        <v>794</v>
      </c>
      <c r="C2664" s="2257"/>
      <c r="D2664" s="2141" t="s">
        <v>5332</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outlineLevel="1">
      <c r="A2665" s="2171">
        <f>IF(G2665=0,0,1)</f>
        <v>1</v>
      </c>
      <c r="B2665" s="2241" t="s">
        <v>798</v>
      </c>
      <c r="C2665" s="2257"/>
      <c r="D2665" s="2141" t="s">
        <v>5321</v>
      </c>
      <c r="E2665" s="2183" t="s">
        <v>5333</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outlineLevel="1">
      <c r="A2666" s="2171">
        <f>IF(G2666=0,0,1)</f>
        <v>1</v>
      </c>
      <c r="B2666" s="2241" t="s">
        <v>902</v>
      </c>
      <c r="C2666" s="2257"/>
      <c r="D2666" s="2141" t="s">
        <v>5347</v>
      </c>
      <c r="E2666" s="2183" t="s">
        <v>5348</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outlineLevel="1">
      <c r="A2667" s="2171">
        <f>IF(G2667&lt;&gt;0,1,"")</f>
        <v>1</v>
      </c>
      <c r="B2667" s="2241" t="s">
        <v>6270</v>
      </c>
      <c r="C2667" s="2247"/>
      <c r="D2667" s="2141" t="s">
        <v>5341</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outlineLevel="1">
      <c r="A2668" s="2171">
        <f>IF(G2668&lt;&gt;0,1,"")</f>
        <v>1</v>
      </c>
      <c r="B2668" s="2250"/>
      <c r="C2668" s="2452">
        <f>IF(G2668&gt;0,C2655+1,C2655)</f>
        <v>5</v>
      </c>
      <c r="D2668" s="2470"/>
      <c r="E2668" s="2454" t="s">
        <v>6201</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4.4" outlineLevel="1">
      <c r="A2669" s="2171">
        <f>A2668</f>
        <v>1</v>
      </c>
      <c r="B2669" s="2250"/>
      <c r="C2669" s="2247"/>
      <c r="D2669" s="2248"/>
      <c r="E2669" s="2256" t="s">
        <v>6125</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outlineLevel="1">
      <c r="A2670" s="2171">
        <f>IF(G2670&lt;&gt;0,1,"")</f>
        <v>1</v>
      </c>
      <c r="B2670" s="2241" t="s">
        <v>6271</v>
      </c>
      <c r="C2670" s="2257"/>
      <c r="D2670" s="2141" t="s">
        <v>5629</v>
      </c>
      <c r="E2670" s="2183" t="s">
        <v>5633</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outlineLevel="1">
      <c r="A2671" s="2171">
        <f>IF(G2671&lt;&gt;0,1,"")</f>
        <v>1</v>
      </c>
      <c r="B2671" s="2241" t="s">
        <v>880</v>
      </c>
      <c r="C2671" s="2247"/>
      <c r="D2671" s="2141">
        <v>0</v>
      </c>
      <c r="E2671" s="2183" t="s">
        <v>5795</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outlineLevel="1">
      <c r="A2672" s="2171">
        <f>IF(G2672&lt;&gt;0,1,"")</f>
        <v>1</v>
      </c>
      <c r="B2672" s="2241" t="s">
        <v>289</v>
      </c>
      <c r="C2672" s="2257"/>
      <c r="D2672" s="2141">
        <v>0</v>
      </c>
      <c r="E2672" s="2183" t="s">
        <v>5708</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4.4" outlineLevel="1">
      <c r="A2674" s="2171" t="str">
        <f>A2673</f>
        <v/>
      </c>
      <c r="B2674" s="2241"/>
      <c r="C2674" s="2247"/>
      <c r="D2674" s="2248"/>
      <c r="E2674" s="2256" t="s">
        <v>6125</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outlineLevel="1">
      <c r="A2675" s="2171" t="str">
        <f t="shared" ref="A2675:A2683" si="540">IF(G2675&lt;&gt;0,1,"")</f>
        <v/>
      </c>
      <c r="B2675" s="2543" t="s">
        <v>752</v>
      </c>
      <c r="C2675" s="2257"/>
      <c r="D2675" s="2141">
        <v>0</v>
      </c>
      <c r="E2675" s="2348" t="s">
        <v>6367</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outlineLevel="1">
      <c r="A2676" s="2171" t="str">
        <f t="shared" si="540"/>
        <v/>
      </c>
      <c r="B2676" s="2543" t="s">
        <v>520</v>
      </c>
      <c r="C2676" s="2257"/>
      <c r="D2676" s="2141">
        <v>0</v>
      </c>
      <c r="E2676" s="2348" t="s">
        <v>6368</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outlineLevel="1">
      <c r="A2677" s="2171" t="str">
        <f t="shared" si="540"/>
        <v/>
      </c>
      <c r="B2677" s="2543" t="s">
        <v>1675</v>
      </c>
      <c r="C2677" s="2257"/>
      <c r="D2677" s="2141">
        <v>0</v>
      </c>
      <c r="E2677" s="2348" t="s">
        <v>6369</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outlineLevel="1">
      <c r="A2678" s="2171" t="str">
        <f t="shared" si="540"/>
        <v/>
      </c>
      <c r="B2678" s="2543" t="s">
        <v>1676</v>
      </c>
      <c r="C2678" s="2257"/>
      <c r="D2678" s="2141" t="s">
        <v>5286</v>
      </c>
      <c r="E2678" s="2348" t="s">
        <v>6370</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outlineLevel="1">
      <c r="A2680" s="2171" t="str">
        <f t="shared" si="540"/>
        <v/>
      </c>
      <c r="B2680" s="2543" t="s">
        <v>1678</v>
      </c>
      <c r="C2680" s="2257"/>
      <c r="D2680" s="2141" t="s">
        <v>5329</v>
      </c>
      <c r="E2680" s="2348" t="s">
        <v>6371</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outlineLevel="1">
      <c r="A2681" s="2171" t="str">
        <f t="shared" si="540"/>
        <v/>
      </c>
      <c r="B2681" s="2543" t="s">
        <v>144</v>
      </c>
      <c r="C2681" s="2257"/>
      <c r="D2681" s="2141" t="s">
        <v>5323</v>
      </c>
      <c r="E2681" s="2348" t="s">
        <v>6372</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outlineLevel="1">
      <c r="A2682" s="2171" t="str">
        <f t="shared" si="540"/>
        <v/>
      </c>
      <c r="B2682" s="2543" t="s">
        <v>529</v>
      </c>
      <c r="C2682" s="2257"/>
      <c r="D2682" s="2141" t="s">
        <v>5328</v>
      </c>
      <c r="E2682" s="2348" t="s">
        <v>6373</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4.4" outlineLevel="1">
      <c r="A2684" s="2171" t="str">
        <f>A2683</f>
        <v/>
      </c>
      <c r="B2684" s="2250"/>
      <c r="C2684" s="2247"/>
      <c r="D2684" s="2248"/>
      <c r="E2684" s="2256" t="s">
        <v>6125</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outlineLevel="1">
      <c r="A2685" s="2171" t="str">
        <f t="shared" ref="A2685:A2692" si="541">IF(G2685&lt;&gt;0,1,"")</f>
        <v/>
      </c>
      <c r="B2685" s="2250" t="s">
        <v>623</v>
      </c>
      <c r="C2685" s="2257"/>
      <c r="D2685" s="2141" t="s">
        <v>5301</v>
      </c>
      <c r="E2685" s="2183" t="s">
        <v>5302</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outlineLevel="1">
      <c r="A2690" s="2171" t="str">
        <f t="shared" si="541"/>
        <v/>
      </c>
      <c r="B2690" s="2250" t="s">
        <v>1410</v>
      </c>
      <c r="C2690" s="2247"/>
      <c r="D2690" s="2141" t="s">
        <v>5337</v>
      </c>
      <c r="E2690" s="2183" t="s">
        <v>5338</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outlineLevel="1">
      <c r="A2691" s="2171" t="str">
        <f t="shared" si="541"/>
        <v/>
      </c>
      <c r="B2691" s="2250" t="s">
        <v>289</v>
      </c>
      <c r="C2691" s="2257"/>
      <c r="D2691" s="2141">
        <v>0</v>
      </c>
      <c r="E2691" s="2183" t="s">
        <v>5708</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7.6"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4.4" outlineLevel="1">
      <c r="A2693" s="2171" t="str">
        <f>A2692</f>
        <v/>
      </c>
      <c r="B2693" s="2250"/>
      <c r="C2693" s="2247"/>
      <c r="D2693" s="2248"/>
      <c r="E2693" s="2263" t="s">
        <v>6125</v>
      </c>
      <c r="F2693" s="2247"/>
      <c r="G2693" s="2252"/>
      <c r="H2693" s="2253"/>
      <c r="I2693" s="2253"/>
      <c r="J2693" s="2253"/>
      <c r="K2693" s="2253"/>
      <c r="L2693" s="2253"/>
      <c r="M2693" s="2253"/>
      <c r="N2693" s="2253"/>
      <c r="O2693" s="2253"/>
      <c r="P2693" s="2254"/>
      <c r="Q2693" s="2255"/>
      <c r="R2693" s="2255"/>
      <c r="S2693" s="2255"/>
    </row>
    <row r="2694" spans="1:19" s="2094" customFormat="1" outlineLevel="1">
      <c r="A2694" s="2171" t="str">
        <f>IF(G2694&lt;&gt;0,1,"")</f>
        <v/>
      </c>
      <c r="B2694" s="2241" t="s">
        <v>470</v>
      </c>
      <c r="C2694" s="2257"/>
      <c r="D2694" s="2141">
        <v>0</v>
      </c>
      <c r="E2694" s="2183" t="s">
        <v>6374</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outlineLevel="1">
      <c r="A2695" s="2171" t="str">
        <f>IF(G2695&lt;&gt;0,1,"")</f>
        <v/>
      </c>
      <c r="B2695" s="2241" t="s">
        <v>271</v>
      </c>
      <c r="C2695" s="2257"/>
      <c r="D2695" s="2141">
        <v>0</v>
      </c>
      <c r="E2695" s="2183" t="s">
        <v>6375</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outlineLevel="1">
      <c r="A2696" s="2171" t="str">
        <f t="shared" ref="A2696:A2702" si="542">IF(G2696&lt;&gt;0,1,"")</f>
        <v/>
      </c>
      <c r="B2696" s="2241" t="s">
        <v>271</v>
      </c>
      <c r="C2696" s="2257"/>
      <c r="D2696" s="2141">
        <v>0</v>
      </c>
      <c r="E2696" s="2183" t="s">
        <v>6376</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outlineLevel="1">
      <c r="A2698" s="2171" t="str">
        <f t="shared" si="542"/>
        <v/>
      </c>
      <c r="B2698" s="2241" t="s">
        <v>470</v>
      </c>
      <c r="C2698" s="2257"/>
      <c r="D2698" s="2141">
        <v>0</v>
      </c>
      <c r="E2698" s="2183" t="s">
        <v>6377</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outlineLevel="1">
      <c r="A2699" s="2171" t="str">
        <f t="shared" si="542"/>
        <v/>
      </c>
      <c r="B2699" s="2241" t="s">
        <v>271</v>
      </c>
      <c r="C2699" s="2257"/>
      <c r="D2699" s="2141">
        <v>0</v>
      </c>
      <c r="E2699" s="2183" t="s">
        <v>6378</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outlineLevel="1">
      <c r="A2701" s="2171" t="str">
        <f t="shared" si="542"/>
        <v/>
      </c>
      <c r="B2701" s="2241" t="s">
        <v>1674</v>
      </c>
      <c r="C2701" s="2257"/>
      <c r="D2701" s="2141" t="s">
        <v>5455</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outlineLevel="1">
      <c r="A2704" s="2171" t="str">
        <f>IF(G2704&lt;&gt;0,1,"")</f>
        <v/>
      </c>
      <c r="B2704" s="2241" t="s">
        <v>1525</v>
      </c>
      <c r="C2704" s="2257"/>
      <c r="D2704" s="2141" t="s">
        <v>5567</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outlineLevel="1">
      <c r="A2706" s="2171">
        <f>IF(G2706&lt;&gt;0,1,"")</f>
        <v>1</v>
      </c>
      <c r="B2706" s="2250"/>
      <c r="C2706" s="2452">
        <f>IF(G2706&gt;0,C2692+1,C2692)</f>
        <v>6</v>
      </c>
      <c r="D2706" s="2470"/>
      <c r="E2706" s="2454" t="s">
        <v>6255</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4.4" outlineLevel="1">
      <c r="A2707" s="2171">
        <f>A2706</f>
        <v>1</v>
      </c>
      <c r="B2707" s="2250"/>
      <c r="C2707" s="2247"/>
      <c r="D2707" s="2248"/>
      <c r="E2707" s="2256" t="s">
        <v>6125</v>
      </c>
      <c r="F2707" s="2247"/>
      <c r="G2707" s="2252"/>
      <c r="H2707" s="2253"/>
      <c r="I2707" s="2253"/>
      <c r="J2707" s="2253"/>
      <c r="K2707" s="2253"/>
      <c r="L2707" s="2253"/>
      <c r="M2707" s="2253"/>
      <c r="N2707" s="2253"/>
      <c r="O2707" s="2253"/>
      <c r="P2707" s="2378"/>
      <c r="Q2707" s="2255"/>
      <c r="R2707" s="2255"/>
      <c r="S2707" s="2255"/>
    </row>
    <row r="2708" spans="1:19" s="2094" customFormat="1" outlineLevel="1">
      <c r="A2708" s="2171">
        <f t="shared" ref="A2708:A2762" si="547">IF(G2708&lt;&gt;0,1,"")</f>
        <v>1</v>
      </c>
      <c r="B2708" s="2241" t="s">
        <v>6264</v>
      </c>
      <c r="C2708" s="2257"/>
      <c r="D2708" s="2141">
        <v>0</v>
      </c>
      <c r="E2708" s="2183" t="s">
        <v>5078</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outlineLevel="1">
      <c r="A2709" s="2171">
        <f t="shared" si="547"/>
        <v>1</v>
      </c>
      <c r="B2709" s="2346" t="s">
        <v>5695</v>
      </c>
      <c r="C2709" s="2257"/>
      <c r="D2709" s="2141">
        <v>0</v>
      </c>
      <c r="E2709" s="2183" t="s">
        <v>5696</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outlineLevel="1">
      <c r="A2710" s="2171">
        <f t="shared" si="547"/>
        <v>1</v>
      </c>
      <c r="B2710" s="2346" t="s">
        <v>5701</v>
      </c>
      <c r="C2710" s="2257"/>
      <c r="D2710" s="2141">
        <v>0</v>
      </c>
      <c r="E2710" s="2183" t="s">
        <v>5702</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outlineLevel="1">
      <c r="A2711" s="2171">
        <f t="shared" si="547"/>
        <v>1</v>
      </c>
      <c r="B2711" s="2346" t="s">
        <v>5703</v>
      </c>
      <c r="C2711" s="2257"/>
      <c r="D2711" s="2141">
        <v>0</v>
      </c>
      <c r="E2711" s="2183" t="s">
        <v>5704</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outlineLevel="1">
      <c r="A2712" s="2171">
        <f t="shared" si="547"/>
        <v>1</v>
      </c>
      <c r="B2712" s="2346" t="s">
        <v>5693</v>
      </c>
      <c r="C2712" s="2257"/>
      <c r="D2712" s="2141"/>
      <c r="E2712" s="2183" t="s">
        <v>5694</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outlineLevel="1">
      <c r="A2714" s="2171">
        <f t="shared" si="547"/>
        <v>1</v>
      </c>
      <c r="B2714" s="2346" t="s">
        <v>1477</v>
      </c>
      <c r="C2714" s="2257"/>
      <c r="D2714" s="2141">
        <v>0</v>
      </c>
      <c r="E2714" s="2183" t="s">
        <v>6338</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outlineLevel="1">
      <c r="A2717" s="2171">
        <f>IF(G2717&lt;&gt;0,1,"")</f>
        <v>1</v>
      </c>
      <c r="B2717" s="2282" t="s">
        <v>6272</v>
      </c>
      <c r="C2717" s="2257"/>
      <c r="D2717" s="2141">
        <v>0</v>
      </c>
      <c r="E2717" s="2183" t="s">
        <v>5142</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outlineLevel="1">
      <c r="A2718" s="2171">
        <f t="shared" si="547"/>
        <v>1</v>
      </c>
      <c r="B2718" s="2241" t="s">
        <v>1565</v>
      </c>
      <c r="C2718" s="2257"/>
      <c r="D2718" s="2141" t="s">
        <v>5556</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outlineLevel="1">
      <c r="A2719" s="2171">
        <f t="shared" si="547"/>
        <v>1</v>
      </c>
      <c r="B2719" s="2241" t="s">
        <v>1525</v>
      </c>
      <c r="C2719" s="2257"/>
      <c r="D2719" s="2141" t="s">
        <v>5567</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4.4" outlineLevel="1">
      <c r="A2721" s="2171">
        <f>A2720</f>
        <v>1</v>
      </c>
      <c r="B2721" s="2250"/>
      <c r="C2721" s="2247"/>
      <c r="D2721" s="2248"/>
      <c r="E2721" s="2256" t="s">
        <v>6125</v>
      </c>
      <c r="F2721" s="2247"/>
      <c r="G2721" s="2258"/>
      <c r="H2721" s="2253"/>
      <c r="I2721" s="2253"/>
      <c r="J2721" s="2253"/>
      <c r="K2721" s="2253"/>
      <c r="L2721" s="2253"/>
      <c r="M2721" s="2253"/>
      <c r="N2721" s="2253"/>
      <c r="O2721" s="2253"/>
      <c r="P2721" s="2378"/>
      <c r="Q2721" s="2255"/>
      <c r="R2721" s="2255"/>
      <c r="S2721" s="2255"/>
    </row>
    <row r="2722" spans="1:19" s="2094" customFormat="1" outlineLevel="1">
      <c r="A2722" s="2171">
        <f t="shared" si="547"/>
        <v>1</v>
      </c>
      <c r="B2722" s="2250" t="s">
        <v>4754</v>
      </c>
      <c r="C2722" s="2257"/>
      <c r="D2722" s="2141">
        <v>0</v>
      </c>
      <c r="E2722" s="2183" t="s">
        <v>6380</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outlineLevel="1">
      <c r="A2723" s="2171">
        <f t="shared" si="547"/>
        <v>1</v>
      </c>
      <c r="B2723" s="2250" t="s">
        <v>2156</v>
      </c>
      <c r="C2723" s="2257"/>
      <c r="D2723" s="2141" t="s">
        <v>5727</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outlineLevel="1">
      <c r="A2727" s="2171">
        <f t="shared" si="547"/>
        <v>1</v>
      </c>
      <c r="B2727" s="2241" t="s">
        <v>6</v>
      </c>
      <c r="C2727" s="2257"/>
      <c r="D2727" s="2141"/>
      <c r="E2727" s="2183" t="s">
        <v>3566</v>
      </c>
      <c r="F2727" s="2141" t="s">
        <v>5802</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outlineLevel="1">
      <c r="A2729" s="2171">
        <f t="shared" si="547"/>
        <v>1</v>
      </c>
      <c r="B2729" s="2241" t="s">
        <v>672</v>
      </c>
      <c r="C2729" s="2257"/>
      <c r="D2729" s="2141">
        <v>0</v>
      </c>
      <c r="E2729" s="2183" t="s">
        <v>5797</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outlineLevel="1">
      <c r="A2730" s="2171">
        <f t="shared" si="547"/>
        <v>1</v>
      </c>
      <c r="B2730" s="2241" t="s">
        <v>247</v>
      </c>
      <c r="C2730" s="2257"/>
      <c r="D2730" s="2141" t="s">
        <v>5569</v>
      </c>
      <c r="E2730" s="2183" t="s">
        <v>5570</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outlineLevel="1">
      <c r="A2731" s="2171" t="str">
        <f t="shared" si="547"/>
        <v/>
      </c>
      <c r="B2731" s="2469"/>
      <c r="C2731" s="2452">
        <f>IF(G2731&gt;0,C2720+1,C2720)</f>
        <v>7</v>
      </c>
      <c r="D2731" s="2470"/>
      <c r="E2731" s="2454" t="s">
        <v>6214</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4.4" outlineLevel="1">
      <c r="A2732" s="2171" t="str">
        <f>A2731</f>
        <v/>
      </c>
      <c r="B2732" s="2250"/>
      <c r="C2732" s="2247"/>
      <c r="D2732" s="2248"/>
      <c r="E2732" s="2256" t="s">
        <v>6125</v>
      </c>
      <c r="F2732" s="2257"/>
      <c r="G2732" s="2259"/>
      <c r="H2732" s="2253"/>
      <c r="I2732" s="2253"/>
      <c r="J2732" s="2253"/>
      <c r="K2732" s="2253"/>
      <c r="L2732" s="2253"/>
      <c r="M2732" s="2253"/>
      <c r="N2732" s="2254"/>
      <c r="O2732" s="2253"/>
      <c r="P2732" s="2378"/>
      <c r="Q2732" s="2255"/>
      <c r="R2732" s="2255"/>
      <c r="S2732" s="2255"/>
    </row>
    <row r="2733" spans="1:19" s="2094" customFormat="1" outlineLevel="1">
      <c r="A2733" s="2171" t="str">
        <f t="shared" si="547"/>
        <v/>
      </c>
      <c r="B2733" s="2250" t="s">
        <v>653</v>
      </c>
      <c r="C2733" s="2257"/>
      <c r="D2733" s="2141">
        <v>0</v>
      </c>
      <c r="E2733" s="2183" t="s">
        <v>5285</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outlineLevel="1">
      <c r="A2736" s="2171" t="str">
        <f t="shared" si="547"/>
        <v/>
      </c>
      <c r="B2736" s="2250" t="s">
        <v>654</v>
      </c>
      <c r="C2736" s="2257"/>
      <c r="D2736" s="2141" t="s">
        <v>5467</v>
      </c>
      <c r="E2736" s="2183" t="s">
        <v>5470</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outlineLevel="1">
      <c r="A2737" s="2171">
        <f t="shared" si="547"/>
        <v>1</v>
      </c>
      <c r="B2737" s="2464"/>
      <c r="C2737" s="2452">
        <f>IF(G2737&gt;0,C2731+1,C2731)</f>
        <v>8</v>
      </c>
      <c r="D2737" s="2453"/>
      <c r="E2737" s="2454" t="s">
        <v>6273</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4.4" outlineLevel="1">
      <c r="A2738" s="2171" t="str">
        <f t="shared" si="547"/>
        <v/>
      </c>
      <c r="B2738" s="2250"/>
      <c r="C2738" s="2247"/>
      <c r="D2738" s="2248"/>
      <c r="E2738" s="2256" t="s">
        <v>6125</v>
      </c>
      <c r="F2738" s="2257"/>
      <c r="G2738" s="2259"/>
      <c r="H2738" s="2253"/>
      <c r="I2738" s="2253"/>
      <c r="J2738" s="2253"/>
      <c r="K2738" s="2253">
        <v>0</v>
      </c>
      <c r="L2738" s="2253">
        <v>0</v>
      </c>
      <c r="M2738" s="2253">
        <v>0</v>
      </c>
      <c r="N2738" s="2254"/>
      <c r="O2738" s="2253"/>
      <c r="P2738" s="2378"/>
      <c r="Q2738" s="2255"/>
      <c r="R2738" s="2255"/>
      <c r="S2738" s="2255"/>
    </row>
    <row r="2739" spans="1:19" s="2094" customFormat="1" ht="14.4" outlineLevel="1">
      <c r="A2739" s="2171">
        <f>A2737</f>
        <v>1</v>
      </c>
      <c r="B2739" s="2250"/>
      <c r="C2739" s="2247"/>
      <c r="D2739" s="2248"/>
      <c r="E2739" s="2256" t="s">
        <v>6125</v>
      </c>
      <c r="F2739" s="2257"/>
      <c r="G2739" s="2259"/>
      <c r="H2739" s="2253"/>
      <c r="I2739" s="2253"/>
      <c r="J2739" s="2253"/>
      <c r="K2739" s="2253"/>
      <c r="L2739" s="2253"/>
      <c r="M2739" s="2253"/>
      <c r="N2739" s="2254"/>
      <c r="O2739" s="2253"/>
      <c r="P2739" s="2378"/>
      <c r="Q2739" s="2255"/>
      <c r="R2739" s="2255"/>
      <c r="S2739" s="2255"/>
    </row>
    <row r="2740" spans="1:19" s="2094" customFormat="1" outlineLevel="1">
      <c r="A2740" s="2171">
        <f t="shared" si="547"/>
        <v>1</v>
      </c>
      <c r="B2740" s="2473" t="s">
        <v>2008</v>
      </c>
      <c r="C2740" s="2257"/>
      <c r="D2740" s="2141">
        <v>0</v>
      </c>
      <c r="E2740" s="2183" t="s">
        <v>5243</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outlineLevel="1">
      <c r="A2741" s="2171">
        <f t="shared" si="547"/>
        <v>1</v>
      </c>
      <c r="B2741" s="2474" t="s">
        <v>6235</v>
      </c>
      <c r="C2741" s="2257"/>
      <c r="D2741" s="2141">
        <v>0</v>
      </c>
      <c r="E2741" s="2183" t="s">
        <v>5480</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outlineLevel="1">
      <c r="A2742" s="2171">
        <f t="shared" si="547"/>
        <v>1</v>
      </c>
      <c r="B2742" s="2476" t="s">
        <v>5481</v>
      </c>
      <c r="C2742" s="2257"/>
      <c r="D2742" s="2141">
        <v>0</v>
      </c>
      <c r="E2742" s="2183" t="s">
        <v>5482</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outlineLevel="1">
      <c r="A2743" s="2171">
        <f t="shared" si="547"/>
        <v>1</v>
      </c>
      <c r="B2743" s="2477" t="s">
        <v>585</v>
      </c>
      <c r="C2743" s="2257"/>
      <c r="D2743" s="2141" t="s">
        <v>5475</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outlineLevel="1">
      <c r="A2744" s="2171">
        <f t="shared" si="547"/>
        <v>1</v>
      </c>
      <c r="B2744" s="2250" t="s">
        <v>654</v>
      </c>
      <c r="C2744" s="2257"/>
      <c r="D2744" s="2141" t="s">
        <v>5467</v>
      </c>
      <c r="E2744" s="2183" t="s">
        <v>5470</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outlineLevel="1">
      <c r="A2745" s="2171">
        <f t="shared" si="547"/>
        <v>1</v>
      </c>
      <c r="B2745" s="2478" t="s">
        <v>1955</v>
      </c>
      <c r="C2745" s="2257"/>
      <c r="D2745" s="2141" t="s">
        <v>5467</v>
      </c>
      <c r="E2745" s="2183" t="s">
        <v>5468</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outlineLevel="1">
      <c r="A2746" s="2171">
        <f t="shared" si="547"/>
        <v>1</v>
      </c>
      <c r="B2746" s="2464"/>
      <c r="C2746" s="2452">
        <f>IF(G2746&gt;0,C2737+1,C2737)</f>
        <v>9</v>
      </c>
      <c r="D2746" s="2453"/>
      <c r="E2746" s="2454" t="s">
        <v>6236</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4.4" outlineLevel="1">
      <c r="A2747" s="2171" t="str">
        <f t="shared" si="547"/>
        <v/>
      </c>
      <c r="B2747" s="2250"/>
      <c r="C2747" s="2247"/>
      <c r="D2747" s="2248"/>
      <c r="E2747" s="2256" t="s">
        <v>6125</v>
      </c>
      <c r="F2747" s="2257"/>
      <c r="G2747" s="2259"/>
      <c r="H2747" s="2253"/>
      <c r="I2747" s="2253"/>
      <c r="J2747" s="2253"/>
      <c r="K2747" s="2253">
        <v>0</v>
      </c>
      <c r="L2747" s="2253">
        <v>0</v>
      </c>
      <c r="M2747" s="2253">
        <v>0</v>
      </c>
      <c r="N2747" s="2254"/>
      <c r="O2747" s="2253"/>
      <c r="P2747" s="2378"/>
      <c r="Q2747" s="2255"/>
      <c r="R2747" s="2255"/>
      <c r="S2747" s="2255"/>
    </row>
    <row r="2748" spans="1:19" s="2094" customFormat="1" ht="14.4" outlineLevel="1">
      <c r="A2748" s="2171">
        <f>A2746</f>
        <v>1</v>
      </c>
      <c r="B2748" s="2250"/>
      <c r="C2748" s="2247"/>
      <c r="D2748" s="2248"/>
      <c r="E2748" s="2256" t="s">
        <v>6125</v>
      </c>
      <c r="F2748" s="2257"/>
      <c r="G2748" s="2259"/>
      <c r="H2748" s="2253"/>
      <c r="I2748" s="2253"/>
      <c r="J2748" s="2253"/>
      <c r="K2748" s="2253"/>
      <c r="L2748" s="2253"/>
      <c r="M2748" s="2253"/>
      <c r="N2748" s="2254"/>
      <c r="O2748" s="2253"/>
      <c r="P2748" s="2378"/>
      <c r="Q2748" s="2255"/>
      <c r="R2748" s="2255"/>
      <c r="S2748" s="2255"/>
    </row>
    <row r="2749" spans="1:19" s="2094" customFormat="1" outlineLevel="1">
      <c r="A2749" s="2171">
        <f t="shared" si="547"/>
        <v>1</v>
      </c>
      <c r="B2749" s="2250" t="s">
        <v>5298</v>
      </c>
      <c r="C2749" s="2257"/>
      <c r="D2749" s="2141" t="s">
        <v>5299</v>
      </c>
      <c r="E2749" s="2183" t="s">
        <v>5300</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outlineLevel="1">
      <c r="A2750" s="2171">
        <f t="shared" si="547"/>
        <v>1</v>
      </c>
      <c r="B2750" s="2250" t="s">
        <v>5360</v>
      </c>
      <c r="C2750" s="2257"/>
      <c r="D2750" s="2141" t="s">
        <v>5361</v>
      </c>
      <c r="E2750" s="2183" t="s">
        <v>5362</v>
      </c>
      <c r="F2750" s="2141" t="s">
        <v>5363</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outlineLevel="1">
      <c r="A2751" s="2171">
        <f t="shared" si="547"/>
        <v>1</v>
      </c>
      <c r="B2751" s="2250" t="s">
        <v>5160</v>
      </c>
      <c r="C2751" s="2257"/>
      <c r="D2751" s="2141">
        <v>0</v>
      </c>
      <c r="E2751" s="2183" t="s">
        <v>5161</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outlineLevel="1">
      <c r="A2752" s="2171">
        <f t="shared" si="547"/>
        <v>1</v>
      </c>
      <c r="B2752" s="2250" t="s">
        <v>5162</v>
      </c>
      <c r="C2752" s="2257"/>
      <c r="D2752" s="2141">
        <v>0</v>
      </c>
      <c r="E2752" s="2183" t="s">
        <v>5163</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outlineLevel="1">
      <c r="A2754" s="2171">
        <f t="shared" si="547"/>
        <v>1</v>
      </c>
      <c r="B2754" s="2250" t="s">
        <v>6237</v>
      </c>
      <c r="C2754" s="2257"/>
      <c r="D2754" s="2141">
        <v>0</v>
      </c>
      <c r="E2754" s="2183" t="s">
        <v>5306</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outlineLevel="1">
      <c r="A2755" s="2171">
        <f t="shared" si="547"/>
        <v>1</v>
      </c>
      <c r="B2755" s="2250" t="s">
        <v>745</v>
      </c>
      <c r="C2755" s="2257"/>
      <c r="D2755" s="2141">
        <v>0</v>
      </c>
      <c r="E2755" s="2183" t="s">
        <v>5242</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outlineLevel="1">
      <c r="A2756" s="2171">
        <f t="shared" si="547"/>
        <v>1</v>
      </c>
      <c r="B2756" s="2250" t="s">
        <v>5054</v>
      </c>
      <c r="C2756" s="2257"/>
      <c r="D2756" s="2141">
        <v>0</v>
      </c>
      <c r="E2756" s="2183" t="s">
        <v>5055</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outlineLevel="1">
      <c r="A2757" s="2171">
        <f t="shared" si="547"/>
        <v>1</v>
      </c>
      <c r="B2757" s="2250" t="s">
        <v>6235</v>
      </c>
      <c r="C2757" s="2257"/>
      <c r="D2757" s="2141">
        <v>0</v>
      </c>
      <c r="E2757" s="2183" t="s">
        <v>5480</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outlineLevel="1">
      <c r="A2759" s="2171">
        <f t="shared" si="547"/>
        <v>1</v>
      </c>
      <c r="B2759" s="2250" t="s">
        <v>5483</v>
      </c>
      <c r="C2759" s="2257"/>
      <c r="D2759" s="2141" t="s">
        <v>5484</v>
      </c>
      <c r="E2759" s="2183" t="s">
        <v>5485</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outlineLevel="1">
      <c r="A2760" s="2171">
        <f t="shared" si="547"/>
        <v>1</v>
      </c>
      <c r="B2760" s="2250" t="s">
        <v>9</v>
      </c>
      <c r="C2760" s="2257"/>
      <c r="D2760" s="2141" t="s">
        <v>5474</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outlineLevel="1">
      <c r="A2761" s="2171">
        <f t="shared" si="547"/>
        <v>1</v>
      </c>
      <c r="B2761" s="2250" t="s">
        <v>654</v>
      </c>
      <c r="C2761" s="2257"/>
      <c r="D2761" s="2141" t="s">
        <v>5467</v>
      </c>
      <c r="E2761" s="2183" t="s">
        <v>5470</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outlineLevel="1">
      <c r="A2762" s="2171">
        <f t="shared" si="547"/>
        <v>1</v>
      </c>
      <c r="B2762" s="2250" t="s">
        <v>5476</v>
      </c>
      <c r="C2762" s="2257"/>
      <c r="D2762" s="2141" t="s">
        <v>5477</v>
      </c>
      <c r="E2762" s="2183" t="s">
        <v>5478</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outlineLevel="1">
      <c r="A2763" s="2171">
        <f>IF(G2763&lt;&gt;0,1,"")</f>
        <v>1</v>
      </c>
      <c r="B2763" s="2241"/>
      <c r="C2763" s="2452">
        <f>IF(G2763&gt;0,C2746+1,C2746)</f>
        <v>10</v>
      </c>
      <c r="D2763" s="2453"/>
      <c r="E2763" s="2454" t="s">
        <v>6245</v>
      </c>
      <c r="F2763" s="2455" t="s">
        <v>2385</v>
      </c>
      <c r="G2763" s="2456">
        <v>1</v>
      </c>
      <c r="H2763" s="2457"/>
      <c r="I2763" s="2459"/>
      <c r="J2763" s="2459"/>
      <c r="K2763" s="2460"/>
      <c r="L2763" s="2460"/>
      <c r="M2763" s="2460"/>
      <c r="N2763" s="2465"/>
      <c r="O2763" s="2465"/>
      <c r="P2763" s="2465"/>
      <c r="Q2763" s="2255"/>
      <c r="R2763" s="2255"/>
      <c r="S2763" s="2255"/>
    </row>
    <row r="2764" spans="1:19" s="2277" customFormat="1" ht="14.4" outlineLevel="1">
      <c r="A2764" s="2171">
        <f>A2763</f>
        <v>1</v>
      </c>
      <c r="B2764" s="2489"/>
      <c r="C2764" s="2247"/>
      <c r="D2764" s="2248"/>
      <c r="E2764" s="2263" t="s">
        <v>6125</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outlineLevel="1">
      <c r="A2766" s="2171">
        <f>IF(G2766=0,0,1)</f>
        <v>0</v>
      </c>
      <c r="B2766" s="2241" t="s">
        <v>6246</v>
      </c>
      <c r="C2766" s="2257"/>
      <c r="D2766" s="2141">
        <v>0</v>
      </c>
      <c r="E2766" s="2348" t="s">
        <v>5049</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outlineLevel="1">
      <c r="A2767" s="2171">
        <f>IF(G2767=0,0,1)</f>
        <v>1</v>
      </c>
      <c r="B2767" s="2241" t="s">
        <v>6247</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outlineLevel="1">
      <c r="A2768" s="2171">
        <f t="shared" ref="A2768:A2785" si="564">IF(G2768=0,0,1)</f>
        <v>1</v>
      </c>
      <c r="B2768" s="2250" t="s">
        <v>246</v>
      </c>
      <c r="C2768" s="2378"/>
      <c r="D2768" s="2141">
        <v>0</v>
      </c>
      <c r="E2768" s="2348" t="s">
        <v>5865</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outlineLevel="1">
      <c r="A2769" s="2171">
        <f t="shared" si="564"/>
        <v>1</v>
      </c>
      <c r="B2769" s="2250" t="s">
        <v>5730</v>
      </c>
      <c r="C2769" s="2257"/>
      <c r="D2769" s="2141" t="s">
        <v>5720</v>
      </c>
      <c r="E2769" s="2348" t="s">
        <v>5731</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outlineLevel="1">
      <c r="A2777" s="2171">
        <f t="shared" si="564"/>
        <v>1</v>
      </c>
      <c r="B2777" s="2241" t="s">
        <v>672</v>
      </c>
      <c r="C2777" s="2257"/>
      <c r="D2777" s="2141">
        <v>0</v>
      </c>
      <c r="E2777" s="2348" t="s">
        <v>5797</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outlineLevel="1">
      <c r="A2780" s="2171">
        <f t="shared" si="564"/>
        <v>1</v>
      </c>
      <c r="B2780" s="2241" t="s">
        <v>319</v>
      </c>
      <c r="C2780" s="2257"/>
      <c r="D2780" s="2141">
        <v>0</v>
      </c>
      <c r="E2780" s="2348" t="s">
        <v>5265</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outlineLevel="1">
      <c r="A2781" s="2171">
        <f t="shared" si="564"/>
        <v>1</v>
      </c>
      <c r="B2781" s="2241" t="s">
        <v>1915</v>
      </c>
      <c r="C2781" s="2257"/>
      <c r="D2781" s="2141" t="s">
        <v>5651</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outlineLevel="1">
      <c r="A2782" s="2171">
        <f t="shared" si="564"/>
        <v>1</v>
      </c>
      <c r="B2782" s="2241" t="s">
        <v>6</v>
      </c>
      <c r="C2782" s="2257"/>
      <c r="D2782" s="2141">
        <v>0</v>
      </c>
      <c r="E2782" s="2348" t="s">
        <v>3566</v>
      </c>
      <c r="F2782" s="2490" t="s">
        <v>5802</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outlineLevel="1">
      <c r="A2784" s="2171">
        <f t="shared" si="564"/>
        <v>0</v>
      </c>
      <c r="B2784" s="2241" t="s">
        <v>1035</v>
      </c>
      <c r="C2784" s="2257"/>
      <c r="D2784" s="2141">
        <v>0</v>
      </c>
      <c r="E2784" s="2348" t="s">
        <v>6381</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outlineLevel="1">
      <c r="A2785" s="2171">
        <f t="shared" si="564"/>
        <v>0</v>
      </c>
      <c r="B2785" s="2241" t="s">
        <v>6247</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6123</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5"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outlineLevel="1">
      <c r="A2790" s="2171">
        <f>A2788</f>
        <v>0</v>
      </c>
      <c r="B2790" s="2250" t="s">
        <v>6104</v>
      </c>
      <c r="C2790" s="2637" t="s">
        <v>1708</v>
      </c>
      <c r="D2790" s="2638" t="s">
        <v>2597</v>
      </c>
      <c r="E2790" s="2640" t="s">
        <v>2598</v>
      </c>
      <c r="F2790" s="2637" t="s">
        <v>2593</v>
      </c>
      <c r="G2790" s="2098" t="s">
        <v>6105</v>
      </c>
      <c r="H2790" s="2101" t="s">
        <v>6106</v>
      </c>
      <c r="I2790" s="2608"/>
      <c r="J2790" s="2608"/>
      <c r="K2790" s="2609"/>
      <c r="L2790" s="2101" t="s">
        <v>6107</v>
      </c>
      <c r="M2790" s="2608"/>
      <c r="N2790" s="2608"/>
      <c r="O2790" s="2609"/>
      <c r="P2790" s="2637" t="s">
        <v>2599</v>
      </c>
      <c r="Q2790" s="2255"/>
      <c r="R2790" s="2255"/>
      <c r="S2790" s="2255"/>
    </row>
    <row r="2791" spans="1:19" s="2094" customFormat="1" outlineLevel="1">
      <c r="A2791" s="2171">
        <f>A2790</f>
        <v>0</v>
      </c>
      <c r="B2791" s="2250"/>
      <c r="C2791" s="2637"/>
      <c r="D2791" s="2639"/>
      <c r="E2791" s="2641"/>
      <c r="F2791" s="2637"/>
      <c r="G2791" s="2100" t="s">
        <v>2286</v>
      </c>
      <c r="H2791" s="2101" t="s">
        <v>6108</v>
      </c>
      <c r="I2791" s="2101" t="s">
        <v>6109</v>
      </c>
      <c r="J2791" s="2101" t="s">
        <v>6110</v>
      </c>
      <c r="K2791" s="2101" t="s">
        <v>6111</v>
      </c>
      <c r="L2791" s="2101" t="s">
        <v>6108</v>
      </c>
      <c r="M2791" s="2101" t="s">
        <v>6109</v>
      </c>
      <c r="N2791" s="2101" t="s">
        <v>6110</v>
      </c>
      <c r="O2791" s="2101" t="s">
        <v>6111</v>
      </c>
      <c r="P2791" s="2637"/>
      <c r="Q2791" s="2255"/>
      <c r="R2791" s="2255"/>
      <c r="S2791" s="2255"/>
    </row>
    <row r="2792" spans="1:19" s="2094" customFormat="1"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outlineLevel="1">
      <c r="A2793" s="2171" t="str">
        <f t="shared" ref="A2793:A2800" si="565">IF(G2793&lt;&gt;0,1,"")</f>
        <v/>
      </c>
      <c r="B2793" s="2241" t="str">
        <f>IF($F$8=15,"tr1000","tr10001")</f>
        <v>tr10001</v>
      </c>
      <c r="C2793" s="2257">
        <f>IF(G2793&gt;0,1,0)</f>
        <v>0</v>
      </c>
      <c r="D2793" s="2141" t="s">
        <v>5590</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outlineLevel="1">
      <c r="A2794" s="2171" t="str">
        <f t="shared" si="565"/>
        <v/>
      </c>
      <c r="B2794" s="2107" t="s">
        <v>1652</v>
      </c>
      <c r="C2794" s="2257">
        <f>IF(G2794&gt;0,C2793+1,C2793)</f>
        <v>0</v>
      </c>
      <c r="D2794" s="2141" t="s">
        <v>5594</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outlineLevel="1">
      <c r="A2796" s="2171" t="str">
        <f t="shared" si="565"/>
        <v/>
      </c>
      <c r="B2796" s="2250" t="str">
        <f>"LA"&amp;$F$6</f>
        <v>LA18</v>
      </c>
      <c r="C2796" s="2257">
        <f t="shared" si="570"/>
        <v>0</v>
      </c>
      <c r="D2796" s="2141" t="s">
        <v>5598</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outlineLevel="1">
      <c r="A2797" s="2171" t="str">
        <f t="shared" si="565"/>
        <v/>
      </c>
      <c r="B2797" s="2346" t="s">
        <v>6274</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outlineLevel="1">
      <c r="A2799" s="2171" t="str">
        <f t="shared" si="565"/>
        <v/>
      </c>
      <c r="B2799" s="2241" t="s">
        <v>5605</v>
      </c>
      <c r="C2799" s="2257">
        <f t="shared" si="570"/>
        <v>0</v>
      </c>
      <c r="D2799" s="2141">
        <v>0</v>
      </c>
      <c r="E2799" s="2183" t="s">
        <v>5606</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outlineLevel="1">
      <c r="A2801" s="2171">
        <f>A2788</f>
        <v>0</v>
      </c>
      <c r="B2801" s="2250"/>
      <c r="C2801" s="2382"/>
      <c r="D2801" s="2383"/>
      <c r="E2801" s="2384"/>
      <c r="F2801" s="2382"/>
      <c r="G2801" s="2625"/>
      <c r="H2801" s="2382"/>
      <c r="I2801" s="2382"/>
      <c r="J2801" s="2106" t="s">
        <v>6113</v>
      </c>
      <c r="K2801" s="2382"/>
      <c r="L2801" s="2384">
        <f>SUM(L2793:L2800)</f>
        <v>0</v>
      </c>
      <c r="M2801" s="2384">
        <f>SUM(M2793:M2800)</f>
        <v>0</v>
      </c>
      <c r="N2801" s="2384">
        <f>SUM(N2793:N2800)</f>
        <v>0</v>
      </c>
      <c r="O2801" s="2384">
        <f>SUM(O2793:O2800)</f>
        <v>0</v>
      </c>
      <c r="P2801" s="2385"/>
      <c r="Q2801" s="2255"/>
      <c r="R2801" s="2255"/>
      <c r="S2801" s="2255"/>
    </row>
    <row r="2802" spans="1:19" s="2094" customFormat="1"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outlineLevel="1">
      <c r="A2803" s="2171" t="str">
        <f t="shared" ref="A2803:A2820" si="571">IF(G2803&lt;&gt;0,1,"")</f>
        <v/>
      </c>
      <c r="B2803" s="2390"/>
      <c r="C2803" s="2391">
        <f>IF(G2803&gt;0,1,0)</f>
        <v>0</v>
      </c>
      <c r="D2803" s="2141"/>
      <c r="E2803" s="2392" t="s">
        <v>6114</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outlineLevel="1">
      <c r="A2807" s="2171" t="str">
        <f t="shared" si="571"/>
        <v/>
      </c>
      <c r="B2807" s="2390"/>
      <c r="C2807" s="2391">
        <f>IF(G2807&gt;0,1,0)</f>
        <v>0</v>
      </c>
      <c r="D2807" s="2141"/>
      <c r="E2807" s="2392" t="s">
        <v>6209</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outlineLevel="1">
      <c r="A2812" s="2171" t="str">
        <f t="shared" si="571"/>
        <v/>
      </c>
      <c r="B2812" s="2346" t="s">
        <v>636</v>
      </c>
      <c r="C2812" s="2396"/>
      <c r="D2812" s="2141" t="s">
        <v>5043</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outlineLevel="1">
      <c r="A2813" s="2171" t="str">
        <f t="shared" si="571"/>
        <v/>
      </c>
      <c r="B2813" s="2346" t="s">
        <v>566</v>
      </c>
      <c r="C2813" s="2396"/>
      <c r="D2813" s="2141"/>
      <c r="E2813" s="2397" t="s">
        <v>5068</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outlineLevel="1">
      <c r="A2814" s="2171" t="str">
        <f t="shared" si="571"/>
        <v/>
      </c>
      <c r="B2814" s="2346" t="s">
        <v>639</v>
      </c>
      <c r="C2814" s="2396"/>
      <c r="D2814" s="2141" t="s">
        <v>1747</v>
      </c>
      <c r="E2814" s="2397" t="s">
        <v>5320</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outlineLevel="1">
      <c r="A2815" s="2171" t="str">
        <f t="shared" si="571"/>
        <v/>
      </c>
      <c r="B2815" s="2346" t="s">
        <v>21</v>
      </c>
      <c r="C2815" s="2396"/>
      <c r="D2815" s="2141" t="s">
        <v>5321</v>
      </c>
      <c r="E2815" s="2397" t="s">
        <v>5322</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outlineLevel="1">
      <c r="A2817" s="2171" t="str">
        <f t="shared" si="571"/>
        <v/>
      </c>
      <c r="B2817" s="2346" t="s">
        <v>636</v>
      </c>
      <c r="C2817" s="2396"/>
      <c r="D2817" s="2141" t="s">
        <v>5043</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outlineLevel="1">
      <c r="A2818" s="2171" t="str">
        <f t="shared" si="571"/>
        <v/>
      </c>
      <c r="B2818" s="2346" t="s">
        <v>566</v>
      </c>
      <c r="C2818" s="2396"/>
      <c r="D2818" s="2141"/>
      <c r="E2818" s="2397" t="s">
        <v>5068</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outlineLevel="1">
      <c r="A2819" s="2171" t="str">
        <f t="shared" si="571"/>
        <v/>
      </c>
      <c r="B2819" s="2346" t="s">
        <v>639</v>
      </c>
      <c r="C2819" s="2396"/>
      <c r="D2819" s="2141" t="s">
        <v>1747</v>
      </c>
      <c r="E2819" s="2397" t="s">
        <v>5320</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outlineLevel="1">
      <c r="A2820" s="2171" t="str">
        <f t="shared" si="571"/>
        <v/>
      </c>
      <c r="B2820" s="2346" t="s">
        <v>21</v>
      </c>
      <c r="C2820" s="2396"/>
      <c r="D2820" s="2141" t="s">
        <v>5321</v>
      </c>
      <c r="E2820" s="2397" t="s">
        <v>5322</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outlineLevel="1">
      <c r="A2821" s="2171" t="str">
        <f>IF(G2821&lt;&gt;0,1,"")</f>
        <v/>
      </c>
      <c r="B2821" s="2250"/>
      <c r="C2821" s="2247">
        <f>IF(G2821&gt;0,C2816+1,C2816)</f>
        <v>0</v>
      </c>
      <c r="D2821" s="2248"/>
      <c r="E2821" s="2406" t="s">
        <v>6263</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4.4" outlineLevel="1">
      <c r="A2822" s="2171" t="str">
        <f>A2821</f>
        <v/>
      </c>
      <c r="B2822" s="2250"/>
      <c r="C2822" s="2247"/>
      <c r="D2822" s="2141"/>
      <c r="E2822" s="2256" t="s">
        <v>6125</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outlineLevel="1">
      <c r="A2827" s="2171" t="str">
        <f t="shared" si="576"/>
        <v/>
      </c>
      <c r="B2827" s="2250" t="s">
        <v>2242</v>
      </c>
      <c r="C2827" s="2247"/>
      <c r="D2827" s="2141" t="s">
        <v>5440</v>
      </c>
      <c r="E2827" s="2183" t="s">
        <v>2440</v>
      </c>
      <c r="F2827" s="2141" t="s">
        <v>2439</v>
      </c>
      <c r="G2827" s="2258">
        <f>G2821</f>
        <v>0</v>
      </c>
      <c r="H2827" s="2348">
        <v>0</v>
      </c>
      <c r="I2827" s="2348"/>
      <c r="J2827" s="2348" t="s">
        <v>6337</v>
      </c>
      <c r="K2827" s="2348"/>
      <c r="L2827" s="2349">
        <f t="shared" si="575"/>
        <v>0</v>
      </c>
      <c r="M2827" s="2349"/>
      <c r="N2827" s="2348">
        <v>0</v>
      </c>
      <c r="O2827" s="2349"/>
      <c r="P2827" s="2254"/>
      <c r="Q2827" s="2255"/>
      <c r="R2827" s="2255"/>
      <c r="S2827" s="2255"/>
    </row>
    <row r="2828" spans="1:19" s="2094" customFormat="1" outlineLevel="1">
      <c r="A2828" s="2171" t="str">
        <f t="shared" si="576"/>
        <v/>
      </c>
      <c r="B2828" s="2250"/>
      <c r="C2828" s="2247">
        <f>IF(G2828&gt;0,C2821+1,C2821)</f>
        <v>0</v>
      </c>
      <c r="D2828" s="2248"/>
      <c r="E2828" s="2406" t="s">
        <v>6275</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4.4" outlineLevel="1">
      <c r="A2829" s="2171" t="str">
        <f>A2828</f>
        <v/>
      </c>
      <c r="B2829" s="2250"/>
      <c r="C2829" s="2247"/>
      <c r="D2829" s="2248"/>
      <c r="E2829" s="2256" t="s">
        <v>6125</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outlineLevel="1">
      <c r="A2834" s="2171" t="str">
        <f t="shared" si="580"/>
        <v/>
      </c>
      <c r="B2834" s="2250" t="s">
        <v>6276</v>
      </c>
      <c r="C2834" s="2247"/>
      <c r="D2834" s="2141" t="s">
        <v>5374</v>
      </c>
      <c r="E2834" s="2183" t="s">
        <v>5375</v>
      </c>
      <c r="F2834" s="2141" t="s">
        <v>2439</v>
      </c>
      <c r="G2834" s="2258">
        <f>+G2828</f>
        <v>0</v>
      </c>
      <c r="H2834" s="2253">
        <v>0</v>
      </c>
      <c r="I2834" s="2348"/>
      <c r="J2834" s="2348" t="s">
        <v>6382</v>
      </c>
      <c r="K2834" s="2348"/>
      <c r="L2834" s="2349">
        <f t="shared" si="575"/>
        <v>0</v>
      </c>
      <c r="M2834" s="2349"/>
      <c r="N2834" s="2348">
        <v>0</v>
      </c>
      <c r="O2834" s="2349"/>
      <c r="P2834" s="2254"/>
      <c r="Q2834" s="2255"/>
      <c r="R2834" s="2255"/>
      <c r="S2834" s="2255"/>
    </row>
    <row r="2835" spans="1:19" s="2094" customFormat="1"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4.4" outlineLevel="1">
      <c r="A2836" s="2171" t="str">
        <f>A2835</f>
        <v/>
      </c>
      <c r="B2836" s="2250"/>
      <c r="C2836" s="2247"/>
      <c r="D2836" s="2248"/>
      <c r="E2836" s="2256" t="s">
        <v>6125</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outlineLevel="1">
      <c r="A2838" s="2171" t="str">
        <f t="shared" si="581"/>
        <v/>
      </c>
      <c r="B2838" s="2250" t="s">
        <v>1035</v>
      </c>
      <c r="C2838" s="2247"/>
      <c r="D2838" s="2141">
        <v>0</v>
      </c>
      <c r="E2838" s="2183" t="s">
        <v>6366</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outlineLevel="1">
      <c r="A2842" s="2171" t="str">
        <f t="shared" si="581"/>
        <v/>
      </c>
      <c r="B2842" s="2250" t="s">
        <v>517</v>
      </c>
      <c r="C2842" s="2247"/>
      <c r="D2842" s="2141" t="s">
        <v>5426</v>
      </c>
      <c r="E2842" s="2183" t="s">
        <v>3173</v>
      </c>
      <c r="F2842" s="2141" t="s">
        <v>2385</v>
      </c>
      <c r="G2842" s="2258">
        <f>G2835</f>
        <v>0</v>
      </c>
      <c r="H2842" s="2253">
        <v>0</v>
      </c>
      <c r="I2842" s="2253"/>
      <c r="J2842" s="2253" t="s">
        <v>6383</v>
      </c>
      <c r="K2842" s="2253"/>
      <c r="L2842" s="2253">
        <f t="shared" si="575"/>
        <v>0</v>
      </c>
      <c r="M2842" s="2253"/>
      <c r="N2842" s="2253">
        <v>0</v>
      </c>
      <c r="O2842" s="2253"/>
      <c r="P2842" s="2378"/>
      <c r="Q2842" s="2255"/>
      <c r="R2842" s="2255"/>
      <c r="S2842" s="2255"/>
    </row>
    <row r="2843" spans="1:19" s="2094" customFormat="1" outlineLevel="1">
      <c r="A2843" s="2171" t="str">
        <f t="shared" si="581"/>
        <v/>
      </c>
      <c r="B2843" s="2250"/>
      <c r="C2843" s="2247">
        <f>IF(G2843&gt;0,C2835+1,C2835)</f>
        <v>0</v>
      </c>
      <c r="D2843" s="2248"/>
      <c r="E2843" s="2406" t="s">
        <v>6231</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4.4" outlineLevel="1">
      <c r="A2844" s="2171" t="str">
        <f>A2843</f>
        <v/>
      </c>
      <c r="B2844" s="2250"/>
      <c r="C2844" s="2247"/>
      <c r="D2844" s="2248"/>
      <c r="E2844" s="2256" t="s">
        <v>6125</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outlineLevel="1">
      <c r="A2846" s="2171" t="str">
        <f t="shared" si="582"/>
        <v/>
      </c>
      <c r="B2846" s="2250" t="s">
        <v>1035</v>
      </c>
      <c r="C2846" s="2247"/>
      <c r="D2846" s="2141">
        <v>0</v>
      </c>
      <c r="E2846" s="2183" t="s">
        <v>6366</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outlineLevel="1">
      <c r="A2850" s="2171" t="str">
        <f t="shared" si="582"/>
        <v/>
      </c>
      <c r="B2850" s="2250" t="s">
        <v>988</v>
      </c>
      <c r="C2850" s="2247"/>
      <c r="D2850" s="2141">
        <v>0</v>
      </c>
      <c r="E2850" s="2183" t="s">
        <v>5266</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outlineLevel="1">
      <c r="A2851" s="2171" t="str">
        <f t="shared" si="582"/>
        <v/>
      </c>
      <c r="B2851" s="2250" t="s">
        <v>1440</v>
      </c>
      <c r="C2851" s="2247"/>
      <c r="D2851" s="2141" t="s">
        <v>5417</v>
      </c>
      <c r="E2851" s="2183" t="s">
        <v>5418</v>
      </c>
      <c r="F2851" s="2141" t="s">
        <v>2385</v>
      </c>
      <c r="G2851" s="2258">
        <f>G2843</f>
        <v>0</v>
      </c>
      <c r="H2851" s="2253">
        <v>0</v>
      </c>
      <c r="I2851" s="2253"/>
      <c r="J2851" s="2253" t="s">
        <v>6383</v>
      </c>
      <c r="K2851" s="2253"/>
      <c r="L2851" s="2253">
        <f t="shared" si="575"/>
        <v>0</v>
      </c>
      <c r="M2851" s="2253"/>
      <c r="N2851" s="2253">
        <v>0</v>
      </c>
      <c r="O2851" s="2253"/>
      <c r="P2851" s="2378"/>
      <c r="Q2851" s="2255"/>
      <c r="R2851" s="2255"/>
      <c r="S2851" s="2255"/>
    </row>
    <row r="2852" spans="1:19" s="2094" customFormat="1"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4.4" outlineLevel="1">
      <c r="A2853" s="2171" t="str">
        <f>+A2852</f>
        <v/>
      </c>
      <c r="B2853" s="2407"/>
      <c r="C2853" s="2247"/>
      <c r="D2853" s="2248"/>
      <c r="E2853" s="2256" t="s">
        <v>6125</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outlineLevel="1">
      <c r="A2855" s="2171" t="str">
        <f t="shared" si="584"/>
        <v/>
      </c>
      <c r="B2855" s="2241" t="s">
        <v>1508</v>
      </c>
      <c r="C2855" s="2247"/>
      <c r="D2855" s="2141">
        <v>0</v>
      </c>
      <c r="E2855" s="2183" t="s">
        <v>5159</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outlineLevel="1">
      <c r="A2859" s="2171" t="str">
        <f t="shared" si="584"/>
        <v/>
      </c>
      <c r="B2859" s="2241" t="s">
        <v>525</v>
      </c>
      <c r="C2859" s="2247"/>
      <c r="D2859" s="2141">
        <v>0</v>
      </c>
      <c r="E2859" s="2183" t="s">
        <v>5248</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outlineLevel="1">
      <c r="A2860" s="2171" t="str">
        <f t="shared" si="584"/>
        <v/>
      </c>
      <c r="B2860" s="2241" t="s">
        <v>1585</v>
      </c>
      <c r="C2860" s="2247"/>
      <c r="D2860" s="2141">
        <v>0</v>
      </c>
      <c r="E2860" s="2183" t="s">
        <v>5709</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outlineLevel="1">
      <c r="A2861" s="2171">
        <f>IF(G2861=0,0,1)</f>
        <v>0</v>
      </c>
      <c r="B2861" s="2241" t="s">
        <v>794</v>
      </c>
      <c r="C2861" s="2257"/>
      <c r="D2861" s="2141" t="s">
        <v>5332</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outlineLevel="1">
      <c r="A2862" s="2171">
        <f>IF(G2862=0,0,1)</f>
        <v>0</v>
      </c>
      <c r="B2862" s="2241" t="s">
        <v>798</v>
      </c>
      <c r="C2862" s="2257"/>
      <c r="D2862" s="2141" t="s">
        <v>5321</v>
      </c>
      <c r="E2862" s="2183" t="s">
        <v>5333</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outlineLevel="1">
      <c r="A2863" s="2171">
        <f>IF(G2863=0,0,1)</f>
        <v>0</v>
      </c>
      <c r="B2863" s="2241" t="s">
        <v>902</v>
      </c>
      <c r="C2863" s="2257"/>
      <c r="D2863" s="2141" t="s">
        <v>5347</v>
      </c>
      <c r="E2863" s="2183" t="s">
        <v>5348</v>
      </c>
      <c r="F2863" s="2141" t="s">
        <v>2278</v>
      </c>
      <c r="G2863" s="2378">
        <f>G2855</f>
        <v>0</v>
      </c>
      <c r="H2863" s="2253">
        <v>0</v>
      </c>
      <c r="I2863" s="2253"/>
      <c r="J2863" s="2253" t="s">
        <v>6304</v>
      </c>
      <c r="K2863" s="2253">
        <v>0</v>
      </c>
      <c r="L2863" s="2253">
        <f>H2863*$G2863</f>
        <v>0</v>
      </c>
      <c r="M2863" s="2253">
        <f>I2863*$G2863</f>
        <v>0</v>
      </c>
      <c r="N2863" s="2253">
        <v>0</v>
      </c>
      <c r="O2863" s="2253">
        <f>K2863*$G2863</f>
        <v>0</v>
      </c>
      <c r="P2863" s="2378"/>
      <c r="Q2863" s="2255"/>
      <c r="R2863" s="2255"/>
      <c r="S2863" s="2255"/>
    </row>
    <row r="2864" spans="1:19" s="2094" customFormat="1" outlineLevel="1">
      <c r="A2864" s="2171" t="str">
        <f>IF(G2864&lt;&gt;0,1,"")</f>
        <v/>
      </c>
      <c r="B2864" s="2241" t="s">
        <v>1437</v>
      </c>
      <c r="C2864" s="2247"/>
      <c r="D2864" s="2141" t="s">
        <v>5342</v>
      </c>
      <c r="E2864" s="2183" t="s">
        <v>5343</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outlineLevel="1">
      <c r="A2865" s="2171" t="str">
        <f>IF(G2865&lt;&gt;0,1,"")</f>
        <v/>
      </c>
      <c r="B2865" s="2250"/>
      <c r="C2865" s="2247">
        <f>IF(G2865&gt;0,C2852+1,C2852)</f>
        <v>0</v>
      </c>
      <c r="D2865" s="2248"/>
      <c r="E2865" s="2365" t="s">
        <v>6201</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4.4" outlineLevel="1">
      <c r="A2866" s="2171" t="str">
        <f>A2865</f>
        <v/>
      </c>
      <c r="B2866" s="2250"/>
      <c r="C2866" s="2247"/>
      <c r="D2866" s="2248"/>
      <c r="E2866" s="2256" t="s">
        <v>6125</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outlineLevel="1">
      <c r="A2867" s="2171" t="str">
        <f>IF(G2867&lt;&gt;0,1,"")</f>
        <v/>
      </c>
      <c r="B2867" s="2250" t="s">
        <v>5647</v>
      </c>
      <c r="C2867" s="2257"/>
      <c r="D2867" s="2141" t="s">
        <v>5629</v>
      </c>
      <c r="E2867" s="2183" t="s">
        <v>5648</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outlineLevel="1">
      <c r="A2868" s="2171" t="str">
        <f>IF(G2868&lt;&gt;0,1,"")</f>
        <v/>
      </c>
      <c r="B2868" s="2250" t="s">
        <v>880</v>
      </c>
      <c r="C2868" s="2247"/>
      <c r="D2868" s="2141">
        <v>0</v>
      </c>
      <c r="E2868" s="2183" t="s">
        <v>5795</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outlineLevel="1">
      <c r="A2869" s="2171" t="str">
        <f>IF(G2869&lt;&gt;0,1,"")</f>
        <v/>
      </c>
      <c r="B2869" s="2250" t="s">
        <v>289</v>
      </c>
      <c r="C2869" s="2257"/>
      <c r="D2869" s="2141">
        <v>0</v>
      </c>
      <c r="E2869" s="2183" t="s">
        <v>5708</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4.4" outlineLevel="1">
      <c r="A2871" s="2171" t="str">
        <f>A2870</f>
        <v/>
      </c>
      <c r="B2871" s="2250"/>
      <c r="C2871" s="2247"/>
      <c r="D2871" s="2248"/>
      <c r="E2871" s="2256" t="s">
        <v>6125</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outlineLevel="1">
      <c r="A2872" s="2171" t="str">
        <f t="shared" ref="A2872:A2880" si="590">IF(G2872&lt;&gt;0,1,"")</f>
        <v/>
      </c>
      <c r="B2872" s="2543" t="s">
        <v>752</v>
      </c>
      <c r="C2872" s="2257"/>
      <c r="D2872" s="2141">
        <v>0</v>
      </c>
      <c r="E2872" s="2348" t="s">
        <v>6367</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outlineLevel="1">
      <c r="A2873" s="2171" t="str">
        <f t="shared" si="590"/>
        <v/>
      </c>
      <c r="B2873" s="2543" t="s">
        <v>520</v>
      </c>
      <c r="C2873" s="2257"/>
      <c r="D2873" s="2141">
        <v>0</v>
      </c>
      <c r="E2873" s="2348" t="s">
        <v>6368</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outlineLevel="1">
      <c r="A2874" s="2171" t="str">
        <f t="shared" si="590"/>
        <v/>
      </c>
      <c r="B2874" s="2543" t="s">
        <v>1675</v>
      </c>
      <c r="C2874" s="2257"/>
      <c r="D2874" s="2141">
        <v>0</v>
      </c>
      <c r="E2874" s="2348" t="s">
        <v>6369</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outlineLevel="1">
      <c r="A2875" s="2171" t="str">
        <f t="shared" si="590"/>
        <v/>
      </c>
      <c r="B2875" s="2543" t="s">
        <v>1676</v>
      </c>
      <c r="C2875" s="2257"/>
      <c r="D2875" s="2141" t="s">
        <v>5286</v>
      </c>
      <c r="E2875" s="2348" t="s">
        <v>6370</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outlineLevel="1">
      <c r="A2877" s="2171" t="str">
        <f t="shared" si="590"/>
        <v/>
      </c>
      <c r="B2877" s="2543" t="s">
        <v>1678</v>
      </c>
      <c r="C2877" s="2257"/>
      <c r="D2877" s="2141" t="s">
        <v>5329</v>
      </c>
      <c r="E2877" s="2348" t="s">
        <v>6371</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outlineLevel="1">
      <c r="A2878" s="2171" t="str">
        <f t="shared" si="590"/>
        <v/>
      </c>
      <c r="B2878" s="2543" t="s">
        <v>144</v>
      </c>
      <c r="C2878" s="2257"/>
      <c r="D2878" s="2141" t="s">
        <v>5323</v>
      </c>
      <c r="E2878" s="2348" t="s">
        <v>6372</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outlineLevel="1">
      <c r="A2879" s="2171" t="str">
        <f t="shared" si="590"/>
        <v/>
      </c>
      <c r="B2879" s="2543" t="s">
        <v>529</v>
      </c>
      <c r="C2879" s="2257"/>
      <c r="D2879" s="2141" t="s">
        <v>5328</v>
      </c>
      <c r="E2879" s="2348" t="s">
        <v>6373</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4.4" outlineLevel="1">
      <c r="A2881" s="2171" t="str">
        <f>A2880</f>
        <v/>
      </c>
      <c r="B2881" s="2250"/>
      <c r="C2881" s="2247"/>
      <c r="D2881" s="2248"/>
      <c r="E2881" s="2256" t="s">
        <v>6125</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outlineLevel="1">
      <c r="A2882" s="2171" t="str">
        <f t="shared" ref="A2882:A2889" si="591">IF(G2882&lt;&gt;0,1,"")</f>
        <v/>
      </c>
      <c r="B2882" s="2250" t="s">
        <v>623</v>
      </c>
      <c r="C2882" s="2257"/>
      <c r="D2882" s="2141" t="s">
        <v>5301</v>
      </c>
      <c r="E2882" s="2183" t="s">
        <v>5302</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outlineLevel="1">
      <c r="A2887" s="2171" t="str">
        <f t="shared" si="591"/>
        <v/>
      </c>
      <c r="B2887" s="2250" t="s">
        <v>1410</v>
      </c>
      <c r="C2887" s="2247"/>
      <c r="D2887" s="2141" t="s">
        <v>5337</v>
      </c>
      <c r="E2887" s="2183" t="s">
        <v>5338</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outlineLevel="1">
      <c r="A2888" s="2171" t="str">
        <f t="shared" si="591"/>
        <v/>
      </c>
      <c r="B2888" s="2250" t="s">
        <v>289</v>
      </c>
      <c r="C2888" s="2257"/>
      <c r="D2888" s="2141">
        <v>0</v>
      </c>
      <c r="E2888" s="2183" t="s">
        <v>5708</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4.4" outlineLevel="1">
      <c r="A2890" s="2171" t="str">
        <f>A2889</f>
        <v/>
      </c>
      <c r="B2890" s="2250"/>
      <c r="C2890" s="2247"/>
      <c r="D2890" s="2248"/>
      <c r="E2890" s="2263" t="s">
        <v>6125</v>
      </c>
      <c r="F2890" s="2247"/>
      <c r="G2890" s="2252"/>
      <c r="H2890" s="2253"/>
      <c r="I2890" s="2253"/>
      <c r="J2890" s="2253"/>
      <c r="K2890" s="2253"/>
      <c r="L2890" s="2253"/>
      <c r="M2890" s="2253"/>
      <c r="N2890" s="2253"/>
      <c r="O2890" s="2253"/>
      <c r="P2890" s="2254"/>
      <c r="Q2890" s="2255"/>
      <c r="R2890" s="2255"/>
      <c r="S2890" s="2255"/>
    </row>
    <row r="2891" spans="1:19" s="2094" customFormat="1" outlineLevel="1">
      <c r="A2891" s="2171" t="str">
        <f>IF(G2891&lt;&gt;0,1,"")</f>
        <v/>
      </c>
      <c r="B2891" s="2241" t="s">
        <v>470</v>
      </c>
      <c r="C2891" s="2257"/>
      <c r="D2891" s="2141">
        <v>0</v>
      </c>
      <c r="E2891" s="2183" t="s">
        <v>6374</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outlineLevel="1">
      <c r="A2892" s="2171" t="str">
        <f>IF(G2892&lt;&gt;0,1,"")</f>
        <v/>
      </c>
      <c r="B2892" s="2241" t="s">
        <v>271</v>
      </c>
      <c r="C2892" s="2257"/>
      <c r="D2892" s="2141">
        <v>0</v>
      </c>
      <c r="E2892" s="2183" t="s">
        <v>6375</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outlineLevel="1">
      <c r="A2893" s="2171" t="str">
        <f t="shared" ref="A2893:A2899" si="592">IF(G2893&lt;&gt;0,1,"")</f>
        <v/>
      </c>
      <c r="B2893" s="2241" t="s">
        <v>271</v>
      </c>
      <c r="C2893" s="2257"/>
      <c r="D2893" s="2141">
        <v>0</v>
      </c>
      <c r="E2893" s="2183" t="s">
        <v>6376</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outlineLevel="1">
      <c r="A2895" s="2171" t="str">
        <f t="shared" si="592"/>
        <v/>
      </c>
      <c r="B2895" s="2241" t="s">
        <v>470</v>
      </c>
      <c r="C2895" s="2257"/>
      <c r="D2895" s="2141">
        <v>0</v>
      </c>
      <c r="E2895" s="2183" t="s">
        <v>6377</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outlineLevel="1">
      <c r="A2896" s="2171" t="str">
        <f t="shared" si="592"/>
        <v/>
      </c>
      <c r="B2896" s="2241" t="s">
        <v>271</v>
      </c>
      <c r="C2896" s="2257"/>
      <c r="D2896" s="2141">
        <v>0</v>
      </c>
      <c r="E2896" s="2183" t="s">
        <v>6378</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outlineLevel="1">
      <c r="A2898" s="2171" t="str">
        <f t="shared" si="592"/>
        <v/>
      </c>
      <c r="B2898" s="2241" t="s">
        <v>1674</v>
      </c>
      <c r="C2898" s="2257"/>
      <c r="D2898" s="2141" t="s">
        <v>5455</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outlineLevel="1">
      <c r="A2901" s="2171" t="str">
        <f>IF(G2901&lt;&gt;0,1,"")</f>
        <v/>
      </c>
      <c r="B2901" s="2241" t="s">
        <v>1525</v>
      </c>
      <c r="C2901" s="2257"/>
      <c r="D2901" s="2141" t="s">
        <v>5567</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outlineLevel="1">
      <c r="A2903" s="2171" t="str">
        <f>IF(G2903&lt;&gt;0,1,"")</f>
        <v/>
      </c>
      <c r="B2903" s="2250"/>
      <c r="C2903" s="2247">
        <f>IF(G2903&gt;0,C2889+1,C2889)</f>
        <v>0</v>
      </c>
      <c r="D2903" s="2248"/>
      <c r="E2903" s="2249" t="s">
        <v>6255</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4.4" outlineLevel="1">
      <c r="A2904" s="2171" t="str">
        <f>A2903</f>
        <v/>
      </c>
      <c r="B2904" s="2250"/>
      <c r="C2904" s="2247"/>
      <c r="D2904" s="2248"/>
      <c r="E2904" s="2263" t="s">
        <v>6125</v>
      </c>
      <c r="F2904" s="2247"/>
      <c r="G2904" s="2252"/>
      <c r="H2904" s="2253"/>
      <c r="I2904" s="2253"/>
      <c r="J2904" s="2253"/>
      <c r="K2904" s="2253"/>
      <c r="L2904" s="2253"/>
      <c r="M2904" s="2253"/>
      <c r="N2904" s="2253"/>
      <c r="O2904" s="2253"/>
      <c r="P2904" s="2378"/>
      <c r="Q2904" s="2255"/>
      <c r="R2904" s="2255"/>
      <c r="S2904" s="2255"/>
    </row>
    <row r="2905" spans="1:19" s="2094" customFormat="1" outlineLevel="1">
      <c r="A2905" s="2171" t="str">
        <f>IF(G2905&lt;&gt;0,1,"")</f>
        <v/>
      </c>
      <c r="B2905" s="2241" t="s">
        <v>697</v>
      </c>
      <c r="C2905" s="2257"/>
      <c r="D2905" s="2141">
        <v>0</v>
      </c>
      <c r="E2905" s="2183" t="s">
        <v>5083</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outlineLevel="1">
      <c r="A2906" s="2171" t="str">
        <f>IF(G2906&lt;&gt;0,1,"")</f>
        <v/>
      </c>
      <c r="B2906" s="2346" t="s">
        <v>1840</v>
      </c>
      <c r="C2906" s="2257"/>
      <c r="D2906" s="2141">
        <v>0</v>
      </c>
      <c r="E2906" s="2183" t="s">
        <v>5074</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outlineLevel="1">
      <c r="A2908" s="2171" t="str">
        <f t="shared" si="600"/>
        <v/>
      </c>
      <c r="B2908" s="2346" t="s">
        <v>1477</v>
      </c>
      <c r="C2908" s="2257"/>
      <c r="D2908" s="2141">
        <v>0</v>
      </c>
      <c r="E2908" s="2183" t="s">
        <v>6338</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outlineLevel="1">
      <c r="A2911" s="2171" t="str">
        <f t="shared" si="600"/>
        <v/>
      </c>
      <c r="B2911" s="2241" t="s">
        <v>1565</v>
      </c>
      <c r="C2911" s="2257"/>
      <c r="D2911" s="2141" t="s">
        <v>5556</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outlineLevel="1">
      <c r="A2912" s="2171" t="str">
        <f t="shared" si="600"/>
        <v/>
      </c>
      <c r="B2912" s="2241" t="s">
        <v>1525</v>
      </c>
      <c r="C2912" s="2257"/>
      <c r="D2912" s="2141" t="s">
        <v>5567</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4.4" outlineLevel="1">
      <c r="A2914" s="2171" t="str">
        <f>A2913</f>
        <v/>
      </c>
      <c r="B2914" s="2241"/>
      <c r="C2914" s="2247"/>
      <c r="D2914" s="2248"/>
      <c r="E2914" s="2263" t="s">
        <v>6125</v>
      </c>
      <c r="F2914" s="2247"/>
      <c r="G2914" s="2258"/>
      <c r="H2914" s="2253"/>
      <c r="I2914" s="2253"/>
      <c r="J2914" s="2253"/>
      <c r="K2914" s="2253"/>
      <c r="L2914" s="2253"/>
      <c r="M2914" s="2253"/>
      <c r="N2914" s="2253"/>
      <c r="O2914" s="2253"/>
      <c r="P2914" s="2378"/>
      <c r="Q2914" s="2255"/>
      <c r="R2914" s="2255"/>
      <c r="S2914" s="2255"/>
    </row>
    <row r="2915" spans="1:19" s="2094" customFormat="1" outlineLevel="1">
      <c r="A2915" s="2171" t="str">
        <f>IF(G2915&lt;&gt;0,1,"")</f>
        <v/>
      </c>
      <c r="B2915" s="2250" t="s">
        <v>4754</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outlineLevel="1">
      <c r="A2917" s="2171" t="str">
        <f t="shared" ref="A2917:A2924" si="603">IF(G2917&lt;&gt;0,1,"")</f>
        <v/>
      </c>
      <c r="B2917" s="2250" t="s">
        <v>2156</v>
      </c>
      <c r="C2917" s="2257"/>
      <c r="D2917" s="2141" t="s">
        <v>5727</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outlineLevel="1">
      <c r="A2921" s="2171" t="str">
        <f t="shared" si="603"/>
        <v/>
      </c>
      <c r="B2921" s="2241" t="s">
        <v>6</v>
      </c>
      <c r="C2921" s="2257"/>
      <c r="D2921" s="2141"/>
      <c r="E2921" s="2183" t="s">
        <v>3566</v>
      </c>
      <c r="F2921" s="2141" t="s">
        <v>5802</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outlineLevel="1">
      <c r="A2923" s="2171" t="str">
        <f t="shared" si="603"/>
        <v/>
      </c>
      <c r="B2923" s="2241" t="s">
        <v>672</v>
      </c>
      <c r="C2923" s="2257"/>
      <c r="D2923" s="2141">
        <v>0</v>
      </c>
      <c r="E2923" s="2183" t="s">
        <v>5797</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outlineLevel="1">
      <c r="A2924" s="2171" t="str">
        <f t="shared" si="603"/>
        <v/>
      </c>
      <c r="B2924" s="2241" t="s">
        <v>247</v>
      </c>
      <c r="C2924" s="2257"/>
      <c r="D2924" s="2141" t="s">
        <v>5569</v>
      </c>
      <c r="E2924" s="2183" t="s">
        <v>5570</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outlineLevel="1">
      <c r="A2925" s="2171">
        <f>A2788</f>
        <v>0</v>
      </c>
      <c r="B2925" s="2346"/>
      <c r="C2925" s="2412"/>
      <c r="D2925" s="2413"/>
      <c r="E2925" s="2388"/>
      <c r="F2925" s="2626"/>
      <c r="G2925" s="2627"/>
      <c r="H2925" s="2626"/>
      <c r="I2925" s="2626"/>
      <c r="J2925" s="2636" t="s">
        <v>6123</v>
      </c>
      <c r="K2925" s="2636"/>
      <c r="L2925" s="2414">
        <f>SUM(L2804:L2924)</f>
        <v>0</v>
      </c>
      <c r="M2925" s="2414">
        <f>SUM(M2804:M2924)</f>
        <v>0</v>
      </c>
      <c r="N2925" s="2414">
        <f>SUM(N2804:N2924)</f>
        <v>0</v>
      </c>
      <c r="O2925" s="2414">
        <f>SUM(O2804:O2924)</f>
        <v>0</v>
      </c>
      <c r="P2925" s="2385"/>
      <c r="Q2925" s="2255"/>
      <c r="R2925" s="2255"/>
      <c r="S2925" s="2255"/>
    </row>
    <row r="2926" spans="1:19" s="2094" customFormat="1"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5"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outlineLevel="1">
      <c r="A2929" s="2171">
        <f>A2927</f>
        <v>0</v>
      </c>
      <c r="B2929" s="2250" t="s">
        <v>6104</v>
      </c>
      <c r="C2929" s="2637" t="s">
        <v>1708</v>
      </c>
      <c r="D2929" s="2638" t="s">
        <v>2597</v>
      </c>
      <c r="E2929" s="2640" t="s">
        <v>2598</v>
      </c>
      <c r="F2929" s="2637" t="s">
        <v>2593</v>
      </c>
      <c r="G2929" s="2098" t="s">
        <v>6105</v>
      </c>
      <c r="H2929" s="2101" t="s">
        <v>6106</v>
      </c>
      <c r="I2929" s="2608"/>
      <c r="J2929" s="2608"/>
      <c r="K2929" s="2609"/>
      <c r="L2929" s="2101" t="s">
        <v>6107</v>
      </c>
      <c r="M2929" s="2608"/>
      <c r="N2929" s="2608"/>
      <c r="O2929" s="2609"/>
      <c r="P2929" s="2637" t="s">
        <v>2599</v>
      </c>
      <c r="Q2929" s="2255"/>
      <c r="R2929" s="2255"/>
      <c r="S2929" s="2255"/>
    </row>
    <row r="2930" spans="1:19" s="2094" customFormat="1" outlineLevel="1">
      <c r="A2930" s="2171">
        <f>A2929</f>
        <v>0</v>
      </c>
      <c r="B2930" s="2250"/>
      <c r="C2930" s="2637"/>
      <c r="D2930" s="2639"/>
      <c r="E2930" s="2641"/>
      <c r="F2930" s="2637"/>
      <c r="G2930" s="2100" t="s">
        <v>2286</v>
      </c>
      <c r="H2930" s="2101" t="s">
        <v>6108</v>
      </c>
      <c r="I2930" s="2101" t="s">
        <v>6109</v>
      </c>
      <c r="J2930" s="2101" t="s">
        <v>6110</v>
      </c>
      <c r="K2930" s="2101" t="s">
        <v>6111</v>
      </c>
      <c r="L2930" s="2101" t="s">
        <v>6108</v>
      </c>
      <c r="M2930" s="2101" t="s">
        <v>6109</v>
      </c>
      <c r="N2930" s="2101" t="s">
        <v>6110</v>
      </c>
      <c r="O2930" s="2101" t="s">
        <v>6111</v>
      </c>
      <c r="P2930" s="2637"/>
      <c r="Q2930" s="2255"/>
      <c r="R2930" s="2255"/>
      <c r="S2930" s="2255"/>
    </row>
    <row r="2931" spans="1:19" s="2094" customFormat="1"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outlineLevel="1">
      <c r="A2932" s="2171" t="str">
        <f t="shared" ref="A2932:A2942" si="607">IF(G2932&lt;&gt;0,1,"")</f>
        <v/>
      </c>
      <c r="B2932" s="2241" t="str">
        <f>IF($F$8=15,"tr1250","tr12501")</f>
        <v>tr12501</v>
      </c>
      <c r="C2932" s="2257">
        <f>IF(G2932&gt;0,1,0)</f>
        <v>0</v>
      </c>
      <c r="D2932" s="2141" t="s">
        <v>5590</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outlineLevel="1">
      <c r="A2933" s="2171" t="str">
        <f t="shared" si="607"/>
        <v/>
      </c>
      <c r="B2933" s="2346" t="s">
        <v>393</v>
      </c>
      <c r="C2933" s="2257">
        <f>IF(G2933&gt;0,C2932+1,C2932)</f>
        <v>0</v>
      </c>
      <c r="D2933" s="2141" t="s">
        <v>5596</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6277</v>
      </c>
      <c r="Q2934" s="2255"/>
      <c r="R2934" s="2255"/>
      <c r="S2934" s="2255"/>
    </row>
    <row r="2935" spans="1:19" s="2094" customFormat="1" outlineLevel="1">
      <c r="A2935" s="2171" t="str">
        <f t="shared" si="607"/>
        <v/>
      </c>
      <c r="B2935" s="2107" t="str">
        <f>"FCO100-"&amp;$F$8</f>
        <v>FCO100-22</v>
      </c>
      <c r="C2935" s="2257">
        <f t="shared" si="612"/>
        <v>0</v>
      </c>
      <c r="D2935" s="2141" t="s">
        <v>5594</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outlineLevel="1">
      <c r="A2937" s="2171" t="str">
        <f t="shared" si="607"/>
        <v/>
      </c>
      <c r="B2937" s="2250" t="str">
        <f>"LA"&amp;$F$6</f>
        <v>LA18</v>
      </c>
      <c r="C2937" s="2257">
        <f t="shared" si="612"/>
        <v>0</v>
      </c>
      <c r="D2937" s="2141" t="s">
        <v>5598</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outlineLevel="1">
      <c r="A2938" s="2171" t="str">
        <f t="shared" si="607"/>
        <v/>
      </c>
      <c r="B2938" s="2346" t="s">
        <v>440</v>
      </c>
      <c r="C2938" s="2257">
        <f t="shared" si="612"/>
        <v>0</v>
      </c>
      <c r="D2938" s="2141">
        <v>0</v>
      </c>
      <c r="E2938" s="2183" t="s">
        <v>5686</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outlineLevel="1">
      <c r="A2939" s="2171" t="str">
        <f t="shared" si="607"/>
        <v/>
      </c>
      <c r="B2939" s="2346" t="s">
        <v>6267</v>
      </c>
      <c r="C2939" s="2257">
        <f t="shared" si="612"/>
        <v>0</v>
      </c>
      <c r="D2939" s="2141" t="s">
        <v>1025</v>
      </c>
      <c r="E2939" s="2183" t="s">
        <v>5614</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outlineLevel="1">
      <c r="A2941" s="2171" t="str">
        <f t="shared" si="607"/>
        <v/>
      </c>
      <c r="B2941" s="2241" t="str">
        <f>IF($F$8=15,"TU15","TU22")</f>
        <v>TU22</v>
      </c>
      <c r="C2941" s="2257">
        <f>IF(G2941&gt;0,C2940+1,C2940)</f>
        <v>0</v>
      </c>
      <c r="D2941" s="2141">
        <v>0</v>
      </c>
      <c r="E2941" s="2183" t="s">
        <v>5607</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outlineLevel="1">
      <c r="A2942" s="2171" t="str">
        <f t="shared" si="607"/>
        <v/>
      </c>
      <c r="B2942" s="2556" t="s">
        <v>1837</v>
      </c>
      <c r="C2942" s="2257">
        <f>IF(G2942&gt;0,C2941+1,C2941)</f>
        <v>0</v>
      </c>
      <c r="D2942" s="2141">
        <v>0</v>
      </c>
      <c r="E2942" s="2183" t="s">
        <v>5705</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outlineLevel="1">
      <c r="A2943" s="2171">
        <f>A2927</f>
        <v>0</v>
      </c>
      <c r="B2943" s="2250"/>
      <c r="C2943" s="2382"/>
      <c r="D2943" s="2383"/>
      <c r="E2943" s="2384"/>
      <c r="F2943" s="2382"/>
      <c r="G2943" s="2625"/>
      <c r="H2943" s="2382"/>
      <c r="I2943" s="2382"/>
      <c r="J2943" s="2106" t="s">
        <v>6113</v>
      </c>
      <c r="K2943" s="2382"/>
      <c r="L2943" s="2384">
        <f>SUM(L2932:L2942)</f>
        <v>0</v>
      </c>
      <c r="M2943" s="2384">
        <f>SUM(M2932:M2942)</f>
        <v>0</v>
      </c>
      <c r="N2943" s="2384">
        <f>SUM(N2932:N2942)</f>
        <v>0</v>
      </c>
      <c r="O2943" s="2384">
        <f>SUM(O2932:O2942)</f>
        <v>0</v>
      </c>
      <c r="P2943" s="2557"/>
      <c r="Q2943" s="2255"/>
      <c r="R2943" s="2255"/>
      <c r="S2943" s="2255"/>
    </row>
    <row r="2944" spans="1:19" s="2094" customFormat="1"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outlineLevel="1">
      <c r="A2945" s="2171" t="str">
        <f t="shared" ref="A2945:A2959" si="613">IF(G2945&lt;&gt;0,1,"")</f>
        <v/>
      </c>
      <c r="B2945" s="2390"/>
      <c r="C2945" s="2391">
        <f>IF(G2945&gt;0,1,0)</f>
        <v>0</v>
      </c>
      <c r="D2945" s="2141"/>
      <c r="E2945" s="2392" t="s">
        <v>6114</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outlineLevel="1">
      <c r="A2946" s="2171" t="str">
        <f t="shared" si="613"/>
        <v/>
      </c>
      <c r="B2946" s="2346" t="s">
        <v>6278</v>
      </c>
      <c r="C2946" s="2396"/>
      <c r="D2946" s="2141"/>
      <c r="E2946" s="2397" t="s">
        <v>5272</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outlineLevel="1">
      <c r="A2948" s="2171" t="str">
        <f t="shared" si="613"/>
        <v/>
      </c>
      <c r="B2948" s="2346" t="s">
        <v>2169</v>
      </c>
      <c r="C2948" s="2396"/>
      <c r="D2948" s="2141" t="s">
        <v>5355</v>
      </c>
      <c r="E2948" s="2397" t="s">
        <v>5356</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outlineLevel="1">
      <c r="A2949" s="2171" t="str">
        <f t="shared" si="613"/>
        <v/>
      </c>
      <c r="B2949" s="2346" t="s">
        <v>2234</v>
      </c>
      <c r="C2949" s="2396"/>
      <c r="D2949" s="2141"/>
      <c r="E2949" s="2397" t="s">
        <v>5320</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outlineLevel="1">
      <c r="A2950" s="2171" t="str">
        <f t="shared" si="613"/>
        <v/>
      </c>
      <c r="B2950" s="2346" t="s">
        <v>21</v>
      </c>
      <c r="C2950" s="2396"/>
      <c r="D2950" s="2141" t="s">
        <v>5321</v>
      </c>
      <c r="E2950" s="2397" t="s">
        <v>5322</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outlineLevel="1">
      <c r="A2951" s="2171" t="str">
        <f t="shared" si="613"/>
        <v/>
      </c>
      <c r="B2951" s="2346"/>
      <c r="C2951" s="2247">
        <f>IF(G2951&gt;0,C2945+1,C2945)</f>
        <v>0</v>
      </c>
      <c r="D2951" s="2141"/>
      <c r="E2951" s="2392" t="s">
        <v>6279</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outlineLevel="1">
      <c r="A2952" s="2171" t="str">
        <f t="shared" si="613"/>
        <v/>
      </c>
      <c r="B2952" s="2346" t="s">
        <v>751</v>
      </c>
      <c r="C2952" s="2396"/>
      <c r="D2952" s="2141">
        <v>0</v>
      </c>
      <c r="E2952" s="2397" t="s">
        <v>5285</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outlineLevel="1">
      <c r="A2955" s="2171" t="str">
        <f t="shared" si="613"/>
        <v/>
      </c>
      <c r="B2955" s="2346" t="s">
        <v>2008</v>
      </c>
      <c r="C2955" s="2396"/>
      <c r="D2955" s="2141"/>
      <c r="E2955" s="2397" t="s">
        <v>5243</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outlineLevel="1">
      <c r="A2957" s="2171" t="str">
        <f t="shared" si="613"/>
        <v/>
      </c>
      <c r="B2957" s="2346" t="s">
        <v>639</v>
      </c>
      <c r="C2957" s="2396"/>
      <c r="D2957" s="2141" t="s">
        <v>1747</v>
      </c>
      <c r="E2957" s="2397" t="s">
        <v>5320</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outlineLevel="1">
      <c r="A2958" s="2171" t="str">
        <f t="shared" si="613"/>
        <v/>
      </c>
      <c r="B2958" s="2558" t="s">
        <v>1835</v>
      </c>
      <c r="C2958" s="2396"/>
      <c r="D2958" s="2141" t="s">
        <v>5467</v>
      </c>
      <c r="E2958" s="2397" t="s">
        <v>5469</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outlineLevel="1">
      <c r="A2959" s="2171" t="str">
        <f t="shared" si="613"/>
        <v/>
      </c>
      <c r="B2959" s="2250"/>
      <c r="C2959" s="2247">
        <f>IF(G2959&gt;0,C2951+1,C2951)</f>
        <v>0</v>
      </c>
      <c r="D2959" s="2248"/>
      <c r="E2959" s="2406" t="s">
        <v>6263</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4.4" outlineLevel="1">
      <c r="A2960" s="2171" t="str">
        <f>A2959</f>
        <v/>
      </c>
      <c r="B2960" s="2250"/>
      <c r="C2960" s="2247"/>
      <c r="D2960" s="2248"/>
      <c r="E2960" s="2256" t="s">
        <v>6125</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outlineLevel="1">
      <c r="A2965" s="2171" t="str">
        <f t="shared" si="618"/>
        <v/>
      </c>
      <c r="B2965" s="2250" t="s">
        <v>2242</v>
      </c>
      <c r="C2965" s="2247"/>
      <c r="D2965" s="2141" t="s">
        <v>730</v>
      </c>
      <c r="E2965" s="2183" t="s">
        <v>2440</v>
      </c>
      <c r="F2965" s="2141" t="s">
        <v>2385</v>
      </c>
      <c r="G2965" s="2258">
        <f>G2959</f>
        <v>0</v>
      </c>
      <c r="H2965" s="2348">
        <v>0</v>
      </c>
      <c r="I2965" s="2348"/>
      <c r="J2965" s="2348" t="s">
        <v>6337</v>
      </c>
      <c r="K2965" s="2348"/>
      <c r="L2965" s="2349">
        <f t="shared" si="614"/>
        <v>0</v>
      </c>
      <c r="M2965" s="2349"/>
      <c r="N2965" s="2348">
        <v>0</v>
      </c>
      <c r="O2965" s="2349"/>
      <c r="P2965" s="2254"/>
      <c r="Q2965" s="2255"/>
      <c r="R2965" s="2255"/>
      <c r="S2965" s="2255"/>
    </row>
    <row r="2966" spans="1:19" s="2094" customFormat="1" outlineLevel="1" collapsed="1">
      <c r="A2966" s="2171" t="str">
        <f t="shared" si="618"/>
        <v/>
      </c>
      <c r="B2966" s="2250"/>
      <c r="C2966" s="2247">
        <f>IF(G2966&gt;0,C2959+1,C2959)</f>
        <v>0</v>
      </c>
      <c r="D2966" s="2248"/>
      <c r="E2966" s="2406" t="s">
        <v>6280</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4.4" outlineLevel="1">
      <c r="A2967" s="2171" t="str">
        <f>A2966</f>
        <v/>
      </c>
      <c r="B2967" s="2250"/>
      <c r="C2967" s="2247"/>
      <c r="D2967" s="2248"/>
      <c r="E2967" s="2256" t="s">
        <v>6125</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outlineLevel="1">
      <c r="A2973" s="2171" t="str">
        <f t="shared" si="619"/>
        <v/>
      </c>
      <c r="B2973" s="2250" t="s">
        <v>516</v>
      </c>
      <c r="C2973" s="2247"/>
      <c r="D2973" s="2141" t="s">
        <v>1457</v>
      </c>
      <c r="E2973" s="2183" t="s">
        <v>5418</v>
      </c>
      <c r="F2973" s="2141" t="s">
        <v>2385</v>
      </c>
      <c r="G2973" s="2258">
        <f>G2966</f>
        <v>0</v>
      </c>
      <c r="H2973" s="2253">
        <v>0</v>
      </c>
      <c r="I2973" s="2253"/>
      <c r="J2973" s="2253" t="s">
        <v>6383</v>
      </c>
      <c r="K2973" s="2253"/>
      <c r="L2973" s="2253">
        <f t="shared" si="614"/>
        <v>0</v>
      </c>
      <c r="M2973" s="2253"/>
      <c r="N2973" s="2253">
        <v>0</v>
      </c>
      <c r="O2973" s="2253"/>
      <c r="P2973" s="2254"/>
      <c r="Q2973" s="2255"/>
      <c r="R2973" s="2255"/>
      <c r="S2973" s="2255"/>
    </row>
    <row r="2974" spans="1:19" s="2094" customFormat="1" outlineLevel="1">
      <c r="A2974" s="2171" t="str">
        <f t="shared" si="619"/>
        <v/>
      </c>
      <c r="B2974" s="2250"/>
      <c r="C2974" s="2247">
        <f>IF(G2974&gt;0,C2966+1,C2966)</f>
        <v>0</v>
      </c>
      <c r="D2974" s="2248"/>
      <c r="E2974" s="2406" t="s">
        <v>6281</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4.4" outlineLevel="1">
      <c r="A2975" s="2171" t="str">
        <f>A2974</f>
        <v/>
      </c>
      <c r="B2975" s="2250"/>
      <c r="C2975" s="2247"/>
      <c r="D2975" s="2248"/>
      <c r="E2975" s="2256" t="s">
        <v>6125</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outlineLevel="1">
      <c r="A2980" s="2171" t="str">
        <f t="shared" si="620"/>
        <v/>
      </c>
      <c r="B2980" s="2250" t="s">
        <v>988</v>
      </c>
      <c r="C2980" s="2247"/>
      <c r="D2980" s="2141">
        <v>0</v>
      </c>
      <c r="E2980" s="2183" t="s">
        <v>5266</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outlineLevel="1">
      <c r="A2981" s="2171" t="str">
        <f t="shared" si="620"/>
        <v/>
      </c>
      <c r="B2981" s="2250" t="s">
        <v>1995</v>
      </c>
      <c r="C2981" s="2247"/>
      <c r="D2981" s="2141" t="s">
        <v>2265</v>
      </c>
      <c r="E2981" s="2183" t="s">
        <v>5375</v>
      </c>
      <c r="F2981" s="2141" t="s">
        <v>2385</v>
      </c>
      <c r="G2981" s="2258">
        <f>G2974</f>
        <v>0</v>
      </c>
      <c r="H2981" s="2253">
        <v>0</v>
      </c>
      <c r="I2981" s="2253"/>
      <c r="J2981" s="2253" t="s">
        <v>6336</v>
      </c>
      <c r="K2981" s="2253"/>
      <c r="L2981" s="2253">
        <f t="shared" si="614"/>
        <v>0</v>
      </c>
      <c r="M2981" s="2253"/>
      <c r="N2981" s="2253">
        <v>0</v>
      </c>
      <c r="O2981" s="2253"/>
      <c r="P2981" s="2254"/>
      <c r="Q2981" s="2255"/>
      <c r="R2981" s="2255"/>
      <c r="S2981" s="2255"/>
    </row>
    <row r="2982" spans="1:19" s="2094" customFormat="1" outlineLevel="1">
      <c r="A2982" s="2171" t="str">
        <f t="shared" si="620"/>
        <v/>
      </c>
      <c r="B2982" s="2250"/>
      <c r="C2982" s="2247">
        <f>IF(G2982&gt;0,C2974+1,C2974)</f>
        <v>0</v>
      </c>
      <c r="D2982" s="2248"/>
      <c r="E2982" s="2406" t="s">
        <v>4375</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4.4" outlineLevel="1">
      <c r="A2983" s="2171" t="str">
        <f>A2982</f>
        <v/>
      </c>
      <c r="B2983" s="2407"/>
      <c r="C2983" s="2247"/>
      <c r="D2983" s="2248"/>
      <c r="E2983" s="2256" t="s">
        <v>6282</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outlineLevel="1">
      <c r="A2985" s="2171" t="str">
        <f t="shared" si="622"/>
        <v/>
      </c>
      <c r="B2985" s="2241" t="s">
        <v>1508</v>
      </c>
      <c r="C2985" s="2247"/>
      <c r="D2985" s="2141">
        <v>0</v>
      </c>
      <c r="E2985" s="2183" t="s">
        <v>5159</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outlineLevel="1">
      <c r="A2986" s="2171" t="str">
        <f t="shared" si="622"/>
        <v/>
      </c>
      <c r="B2986" s="2241" t="s">
        <v>1585</v>
      </c>
      <c r="C2986" s="2247"/>
      <c r="D2986" s="2141">
        <v>0</v>
      </c>
      <c r="E2986" s="2183" t="s">
        <v>5709</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outlineLevel="1">
      <c r="A2989" s="2171" t="str">
        <f t="shared" si="622"/>
        <v/>
      </c>
      <c r="B2989" s="2241" t="s">
        <v>525</v>
      </c>
      <c r="C2989" s="2247"/>
      <c r="D2989" s="2141">
        <v>0</v>
      </c>
      <c r="E2989" s="2183" t="s">
        <v>5248</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outlineLevel="1">
      <c r="A2991" s="2171">
        <f>IF(G2991=0,0,1)</f>
        <v>0</v>
      </c>
      <c r="B2991" s="2241" t="s">
        <v>794</v>
      </c>
      <c r="C2991" s="2257"/>
      <c r="D2991" s="2141" t="s">
        <v>5332</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outlineLevel="1">
      <c r="A2992" s="2171">
        <f>IF(G2992=0,0,1)</f>
        <v>0</v>
      </c>
      <c r="B2992" s="2241" t="s">
        <v>798</v>
      </c>
      <c r="C2992" s="2257"/>
      <c r="D2992" s="2141" t="s">
        <v>5321</v>
      </c>
      <c r="E2992" s="2183" t="s">
        <v>5333</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outlineLevel="1">
      <c r="A2993" s="2171">
        <f>IF(G2993=0,0,1)</f>
        <v>0</v>
      </c>
      <c r="B2993" s="2241" t="s">
        <v>902</v>
      </c>
      <c r="C2993" s="2257"/>
      <c r="D2993" s="2141" t="s">
        <v>5347</v>
      </c>
      <c r="E2993" s="2183" t="s">
        <v>5348</v>
      </c>
      <c r="F2993" s="2490" t="s">
        <v>856</v>
      </c>
      <c r="G2993" s="2409">
        <f>G2985</f>
        <v>0</v>
      </c>
      <c r="H2993" s="2253">
        <v>0</v>
      </c>
      <c r="I2993" s="2253"/>
      <c r="J2993" s="2253" t="s">
        <v>6304</v>
      </c>
      <c r="K2993" s="2253">
        <v>0</v>
      </c>
      <c r="L2993" s="2253">
        <f>H2993*$G2993</f>
        <v>0</v>
      </c>
      <c r="M2993" s="2253">
        <f>I2993*$G2993</f>
        <v>0</v>
      </c>
      <c r="N2993" s="2253">
        <v>0</v>
      </c>
      <c r="O2993" s="2253">
        <f>K2993*$G2993</f>
        <v>0</v>
      </c>
      <c r="P2993" s="2254"/>
      <c r="Q2993" s="2255"/>
      <c r="R2993" s="2255"/>
      <c r="S2993" s="2255"/>
    </row>
    <row r="2994" spans="1:19" s="2094" customFormat="1" outlineLevel="1">
      <c r="A2994" s="2171" t="str">
        <f>IF(G2994&lt;&gt;0,1,"")</f>
        <v/>
      </c>
      <c r="B2994" s="2241" t="s">
        <v>1437</v>
      </c>
      <c r="C2994" s="2247"/>
      <c r="D2994" s="2141" t="s">
        <v>5342</v>
      </c>
      <c r="E2994" s="2183" t="s">
        <v>5343</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outlineLevel="1">
      <c r="A2995" s="2171" t="str">
        <f>IF(G2995&lt;&gt;0,1,"")</f>
        <v/>
      </c>
      <c r="B2995" s="2250"/>
      <c r="C2995" s="2247">
        <f>IF(G2995&gt;0,C2982+1,C2982)</f>
        <v>0</v>
      </c>
      <c r="D2995" s="2248"/>
      <c r="E2995" s="2365" t="s">
        <v>6283</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4.4" outlineLevel="1">
      <c r="A2996" s="2171" t="str">
        <f>A2995</f>
        <v/>
      </c>
      <c r="B2996" s="2250"/>
      <c r="C2996" s="2247"/>
      <c r="D2996" s="2248"/>
      <c r="E2996" s="2256" t="s">
        <v>6125</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outlineLevel="1">
      <c r="A2997" s="2171" t="str">
        <f>IF(G2997&lt;&gt;0,1,"")</f>
        <v/>
      </c>
      <c r="B2997" s="2250" t="s">
        <v>6284</v>
      </c>
      <c r="C2997" s="2257"/>
      <c r="D2997" s="2141" t="s">
        <v>5629</v>
      </c>
      <c r="E2997" s="2183" t="s">
        <v>5633</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outlineLevel="1">
      <c r="A2998" s="2171" t="str">
        <f>IF(G2998&lt;&gt;0,1,"")</f>
        <v/>
      </c>
      <c r="B2998" s="2250" t="s">
        <v>289</v>
      </c>
      <c r="C2998" s="2257"/>
      <c r="D2998" s="2141">
        <v>0</v>
      </c>
      <c r="E2998" s="2183" t="s">
        <v>5708</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4.4" outlineLevel="1">
      <c r="A3000" s="2171" t="str">
        <f>A2999</f>
        <v/>
      </c>
      <c r="B3000" s="2250"/>
      <c r="C3000" s="2247"/>
      <c r="D3000" s="2248"/>
      <c r="E3000" s="2256" t="s">
        <v>6125</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outlineLevel="1">
      <c r="A3001" s="2171" t="str">
        <f t="shared" ref="A3001:A3009" si="628">IF(G3001&lt;&gt;0,1,"")</f>
        <v/>
      </c>
      <c r="B3001" s="2543" t="s">
        <v>752</v>
      </c>
      <c r="C3001" s="2257"/>
      <c r="D3001" s="2141">
        <v>0</v>
      </c>
      <c r="E3001" s="2348" t="s">
        <v>6384</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outlineLevel="1">
      <c r="A3002" s="2171" t="str">
        <f t="shared" si="628"/>
        <v/>
      </c>
      <c r="B3002" s="2543" t="s">
        <v>867</v>
      </c>
      <c r="C3002" s="2257"/>
      <c r="D3002" s="2141">
        <v>0</v>
      </c>
      <c r="E3002" s="2348" t="s">
        <v>6385</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outlineLevel="1">
      <c r="A3003" s="2171" t="str">
        <f t="shared" si="628"/>
        <v/>
      </c>
      <c r="B3003" s="2543" t="s">
        <v>1675</v>
      </c>
      <c r="C3003" s="2257"/>
      <c r="D3003" s="2141">
        <v>0</v>
      </c>
      <c r="E3003" s="2348" t="s">
        <v>6369</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outlineLevel="1">
      <c r="A3004" s="2171" t="str">
        <f t="shared" si="628"/>
        <v/>
      </c>
      <c r="B3004" s="2543" t="s">
        <v>1676</v>
      </c>
      <c r="C3004" s="2257"/>
      <c r="D3004" s="2141" t="s">
        <v>5286</v>
      </c>
      <c r="E3004" s="2348" t="s">
        <v>6370</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outlineLevel="1">
      <c r="A3006" s="2171" t="str">
        <f t="shared" si="628"/>
        <v/>
      </c>
      <c r="B3006" s="2543" t="s">
        <v>1678</v>
      </c>
      <c r="C3006" s="2257"/>
      <c r="D3006" s="2141" t="s">
        <v>5329</v>
      </c>
      <c r="E3006" s="2348" t="s">
        <v>6371</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outlineLevel="1">
      <c r="A3007" s="2171" t="str">
        <f t="shared" si="628"/>
        <v/>
      </c>
      <c r="B3007" s="2543" t="s">
        <v>144</v>
      </c>
      <c r="C3007" s="2257"/>
      <c r="D3007" s="2141" t="s">
        <v>5323</v>
      </c>
      <c r="E3007" s="2348" t="s">
        <v>6372</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outlineLevel="1">
      <c r="A3008" s="2171" t="str">
        <f t="shared" si="628"/>
        <v/>
      </c>
      <c r="B3008" s="2543" t="s">
        <v>529</v>
      </c>
      <c r="C3008" s="2257"/>
      <c r="D3008" s="2141" t="s">
        <v>5328</v>
      </c>
      <c r="E3008" s="2348" t="s">
        <v>6386</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4.4" outlineLevel="1">
      <c r="A3010" s="2171" t="str">
        <f>A3009</f>
        <v/>
      </c>
      <c r="B3010" s="2250"/>
      <c r="C3010" s="2247"/>
      <c r="D3010" s="2248"/>
      <c r="E3010" s="2256" t="s">
        <v>6125</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outlineLevel="1">
      <c r="A3011" s="2171" t="str">
        <f t="shared" ref="A3011:A3018" si="629">IF(G3011&lt;&gt;0,1,"")</f>
        <v/>
      </c>
      <c r="B3011" s="2250" t="s">
        <v>623</v>
      </c>
      <c r="C3011" s="2257"/>
      <c r="D3011" s="2141" t="s">
        <v>5301</v>
      </c>
      <c r="E3011" s="2183" t="s">
        <v>5302</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outlineLevel="1">
      <c r="A3016" s="2171" t="str">
        <f t="shared" si="629"/>
        <v/>
      </c>
      <c r="B3016" s="2250" t="s">
        <v>1410</v>
      </c>
      <c r="C3016" s="2247"/>
      <c r="D3016" s="2141" t="s">
        <v>5337</v>
      </c>
      <c r="E3016" s="2183" t="s">
        <v>5338</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outlineLevel="1">
      <c r="A3017" s="2171" t="str">
        <f t="shared" si="629"/>
        <v/>
      </c>
      <c r="B3017" s="2250" t="s">
        <v>289</v>
      </c>
      <c r="C3017" s="2257"/>
      <c r="D3017" s="2141">
        <v>0</v>
      </c>
      <c r="E3017" s="2183" t="s">
        <v>5708</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4.4" outlineLevel="1">
      <c r="A3019" s="2171" t="str">
        <f>A3018</f>
        <v/>
      </c>
      <c r="B3019" s="2250"/>
      <c r="C3019" s="2247"/>
      <c r="D3019" s="2248"/>
      <c r="E3019" s="2263" t="s">
        <v>6125</v>
      </c>
      <c r="F3019" s="2247"/>
      <c r="G3019" s="2252"/>
      <c r="H3019" s="2253"/>
      <c r="I3019" s="2253"/>
      <c r="J3019" s="2253"/>
      <c r="K3019" s="2253"/>
      <c r="L3019" s="2253"/>
      <c r="M3019" s="2253"/>
      <c r="N3019" s="2253"/>
      <c r="O3019" s="2253"/>
      <c r="P3019" s="2254"/>
      <c r="Q3019" s="2255"/>
      <c r="R3019" s="2255"/>
      <c r="S3019" s="2255"/>
    </row>
    <row r="3020" spans="1:19" s="2094" customFormat="1" outlineLevel="1">
      <c r="A3020" s="2171" t="str">
        <f>IF(G3020&lt;&gt;0,1,"")</f>
        <v/>
      </c>
      <c r="B3020" s="2241" t="s">
        <v>470</v>
      </c>
      <c r="C3020" s="2257"/>
      <c r="D3020" s="2141">
        <v>0</v>
      </c>
      <c r="E3020" s="2183" t="s">
        <v>6387</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outlineLevel="1">
      <c r="A3021" s="2171" t="str">
        <f t="shared" ref="A3021:A3030" si="630">IF(G3021&lt;&gt;0,1,"")</f>
        <v/>
      </c>
      <c r="B3021" s="2241" t="s">
        <v>271</v>
      </c>
      <c r="C3021" s="2257"/>
      <c r="D3021" s="2141">
        <v>0</v>
      </c>
      <c r="E3021" s="2183" t="s">
        <v>6388</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outlineLevel="1">
      <c r="A3023" s="2171" t="str">
        <f t="shared" si="630"/>
        <v/>
      </c>
      <c r="B3023" s="2241" t="s">
        <v>470</v>
      </c>
      <c r="C3023" s="2257"/>
      <c r="D3023" s="2141">
        <v>0</v>
      </c>
      <c r="E3023" s="2183" t="s">
        <v>6377</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outlineLevel="1">
      <c r="A3024" s="2171" t="str">
        <f t="shared" si="630"/>
        <v/>
      </c>
      <c r="B3024" s="2241" t="s">
        <v>271</v>
      </c>
      <c r="C3024" s="2257"/>
      <c r="D3024" s="2141">
        <v>0</v>
      </c>
      <c r="E3024" s="2183" t="s">
        <v>6378</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outlineLevel="1">
      <c r="A3026" s="2171" t="str">
        <f t="shared" si="630"/>
        <v/>
      </c>
      <c r="B3026" s="2241" t="s">
        <v>1674</v>
      </c>
      <c r="C3026" s="2257"/>
      <c r="D3026" s="2141" t="s">
        <v>5455</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outlineLevel="1">
      <c r="A3027" s="2171" t="str">
        <f t="shared" si="630"/>
        <v/>
      </c>
      <c r="B3027" s="2241" t="s">
        <v>1182</v>
      </c>
      <c r="C3027" s="2257"/>
      <c r="D3027" s="2141" t="s">
        <v>5548</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outlineLevel="1">
      <c r="A3028" s="2171" t="str">
        <f t="shared" si="630"/>
        <v/>
      </c>
      <c r="B3028" s="2241" t="s">
        <v>1525</v>
      </c>
      <c r="C3028" s="2257"/>
      <c r="D3028" s="2141" t="s">
        <v>5567</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4.4" outlineLevel="1">
      <c r="A3031" s="2171" t="str">
        <f>A3030</f>
        <v/>
      </c>
      <c r="B3031" s="2250"/>
      <c r="C3031" s="2247"/>
      <c r="D3031" s="2248"/>
      <c r="E3031" s="2263" t="s">
        <v>6125</v>
      </c>
      <c r="F3031" s="2247"/>
      <c r="G3031" s="2252"/>
      <c r="H3031" s="2253"/>
      <c r="I3031" s="2253"/>
      <c r="J3031" s="2253"/>
      <c r="K3031" s="2253"/>
      <c r="L3031" s="2253"/>
      <c r="M3031" s="2253"/>
      <c r="N3031" s="2253"/>
      <c r="O3031" s="2253"/>
      <c r="P3031" s="2254"/>
      <c r="Q3031" s="2255"/>
      <c r="R3031" s="2255"/>
      <c r="S3031" s="2255"/>
    </row>
    <row r="3032" spans="1:19" s="2094" customFormat="1" outlineLevel="1">
      <c r="A3032" s="2171" t="str">
        <f t="shared" ref="A3032:A3037" si="635">IF(G3032&lt;&gt;0,1,"")</f>
        <v/>
      </c>
      <c r="B3032" s="2241" t="s">
        <v>697</v>
      </c>
      <c r="C3032" s="2257"/>
      <c r="D3032" s="2141">
        <v>0</v>
      </c>
      <c r="E3032" s="2183" t="s">
        <v>5083</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outlineLevel="1">
      <c r="A3035" s="2171" t="str">
        <f t="shared" si="635"/>
        <v/>
      </c>
      <c r="B3035" s="2346" t="s">
        <v>1477</v>
      </c>
      <c r="C3035" s="2257"/>
      <c r="D3035" s="2141">
        <v>0</v>
      </c>
      <c r="E3035" s="2183" t="s">
        <v>6338</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outlineLevel="1">
      <c r="A3038" s="2171" t="str">
        <f>IF(G3038&lt;&gt;0,1,"")</f>
        <v/>
      </c>
      <c r="B3038" s="2241" t="s">
        <v>347</v>
      </c>
      <c r="C3038" s="2257"/>
      <c r="D3038" s="2141" t="s">
        <v>5556</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outlineLevel="1">
      <c r="A3039" s="2171" t="str">
        <f>IF(G3039&lt;&gt;0,1,"")</f>
        <v/>
      </c>
      <c r="B3039" s="2241"/>
      <c r="C3039" s="2247">
        <f>IF(G3039&gt;0,C3030+1,C3030)</f>
        <v>0</v>
      </c>
      <c r="D3039" s="2248"/>
      <c r="E3039" s="2249" t="s">
        <v>6285</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4.4" outlineLevel="1">
      <c r="A3040" s="2171" t="str">
        <f>A3039</f>
        <v/>
      </c>
      <c r="B3040" s="2241"/>
      <c r="C3040" s="2247"/>
      <c r="D3040" s="2248"/>
      <c r="E3040" s="2263" t="s">
        <v>6125</v>
      </c>
      <c r="F3040" s="2247"/>
      <c r="G3040" s="2258"/>
      <c r="H3040" s="2253"/>
      <c r="I3040" s="2253"/>
      <c r="J3040" s="2253"/>
      <c r="K3040" s="2253"/>
      <c r="L3040" s="2253"/>
      <c r="M3040" s="2253"/>
      <c r="N3040" s="2253"/>
      <c r="O3040" s="2253"/>
      <c r="P3040" s="2254"/>
      <c r="Q3040" s="2255"/>
      <c r="R3040" s="2255"/>
      <c r="S3040" s="2255"/>
    </row>
    <row r="3041" spans="1:19" s="2094" customFormat="1"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outlineLevel="1">
      <c r="A3042" s="2171" t="str">
        <f t="shared" si="639"/>
        <v/>
      </c>
      <c r="B3042" s="2250" t="s">
        <v>448</v>
      </c>
      <c r="C3042" s="2257"/>
      <c r="D3042" s="2141" t="s">
        <v>5728</v>
      </c>
      <c r="E3042" s="2183" t="s">
        <v>6389</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outlineLevel="1">
      <c r="A3043" s="2171" t="str">
        <f t="shared" si="639"/>
        <v/>
      </c>
      <c r="B3043" s="2250" t="s">
        <v>1072</v>
      </c>
      <c r="C3043" s="2257"/>
      <c r="D3043" s="2141">
        <v>0</v>
      </c>
      <c r="E3043" s="2183" t="s">
        <v>6390</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outlineLevel="1">
      <c r="A3045" s="2171" t="str">
        <f t="shared" si="639"/>
        <v/>
      </c>
      <c r="B3045" s="2241" t="s">
        <v>731</v>
      </c>
      <c r="C3045" s="2257"/>
      <c r="D3045" s="2141">
        <v>0</v>
      </c>
      <c r="E3045" s="2183" t="s">
        <v>5254</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outlineLevel="1">
      <c r="A3046" s="2171" t="str">
        <f t="shared" si="639"/>
        <v/>
      </c>
      <c r="B3046" s="2250" t="s">
        <v>1043</v>
      </c>
      <c r="C3046" s="2257"/>
      <c r="D3046" s="2141">
        <v>0</v>
      </c>
      <c r="E3046" s="2183" t="s">
        <v>5794</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outlineLevel="1">
      <c r="A3048" s="2171" t="str">
        <f t="shared" si="639"/>
        <v/>
      </c>
      <c r="B3048" s="2250" t="s">
        <v>2168</v>
      </c>
      <c r="C3048" s="2257"/>
      <c r="D3048" s="2141">
        <v>0</v>
      </c>
      <c r="E3048" s="2183" t="s">
        <v>6391</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outlineLevel="1">
      <c r="A3049" s="2171" t="str">
        <f t="shared" si="639"/>
        <v/>
      </c>
      <c r="B3049" s="2250" t="s">
        <v>726</v>
      </c>
      <c r="C3049" s="2257"/>
      <c r="D3049" s="2141">
        <v>0</v>
      </c>
      <c r="E3049" s="2183" t="s">
        <v>6392</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outlineLevel="1">
      <c r="A3050" s="2171" t="str">
        <f>IF(G3050&lt;&gt;0,1,"")</f>
        <v/>
      </c>
      <c r="B3050" s="2241" t="s">
        <v>6</v>
      </c>
      <c r="C3050" s="2257"/>
      <c r="D3050" s="2141"/>
      <c r="E3050" s="2183" t="s">
        <v>6393</v>
      </c>
      <c r="F3050" s="2141" t="s">
        <v>5802</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outlineLevel="1">
      <c r="A3052" s="2171" t="str">
        <f>IF(G3052&lt;&gt;0,1,"")</f>
        <v/>
      </c>
      <c r="B3052" s="2241" t="s">
        <v>672</v>
      </c>
      <c r="C3052" s="2257"/>
      <c r="D3052" s="2141">
        <v>0</v>
      </c>
      <c r="E3052" s="2183" t="s">
        <v>5797</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outlineLevel="1">
      <c r="A3053" s="2171" t="str">
        <f>IF(G3053&lt;&gt;0,1,"")</f>
        <v/>
      </c>
      <c r="B3053" s="2241" t="s">
        <v>247</v>
      </c>
      <c r="C3053" s="2560"/>
      <c r="D3053" s="2141" t="s">
        <v>5569</v>
      </c>
      <c r="E3053" s="2183" t="s">
        <v>6394</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outlineLevel="1">
      <c r="A3054" s="2171" t="str">
        <f>IF(G3054&lt;&gt;0,1,"")</f>
        <v/>
      </c>
      <c r="B3054" s="2241"/>
      <c r="C3054" s="2247">
        <f>IF(G3054&gt;0,C3039+1,C3039)</f>
        <v>0</v>
      </c>
      <c r="D3054" s="2248"/>
      <c r="E3054" s="2249" t="s">
        <v>6245</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4.4" outlineLevel="1">
      <c r="A3055" s="2171" t="str">
        <f>A3054</f>
        <v/>
      </c>
      <c r="B3055" s="2489"/>
      <c r="C3055" s="2247"/>
      <c r="D3055" s="2248"/>
      <c r="E3055" s="2263" t="s">
        <v>6125</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outlineLevel="1">
      <c r="A3057" s="2171">
        <f>IF(G3057=0,0,1)</f>
        <v>0</v>
      </c>
      <c r="B3057" s="2241" t="s">
        <v>6246</v>
      </c>
      <c r="C3057" s="2257"/>
      <c r="D3057" s="2141">
        <v>0</v>
      </c>
      <c r="E3057" s="2348" t="s">
        <v>5049</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outlineLevel="1">
      <c r="A3058" s="2171">
        <f>IF(G3058=0,0,1)</f>
        <v>0</v>
      </c>
      <c r="B3058" s="2241" t="s">
        <v>6247</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outlineLevel="1">
      <c r="A3059" s="2171">
        <f t="shared" ref="A3059:A3076" si="645">IF(G3059=0,0,1)</f>
        <v>0</v>
      </c>
      <c r="B3059" s="2250" t="s">
        <v>246</v>
      </c>
      <c r="C3059" s="2378"/>
      <c r="D3059" s="2141">
        <v>0</v>
      </c>
      <c r="E3059" s="2348" t="s">
        <v>5865</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outlineLevel="1">
      <c r="A3068" s="2171">
        <f t="shared" si="645"/>
        <v>0</v>
      </c>
      <c r="B3068" s="2241" t="s">
        <v>672</v>
      </c>
      <c r="C3068" s="2257"/>
      <c r="D3068" s="2141">
        <v>0</v>
      </c>
      <c r="E3068" s="2348" t="s">
        <v>5797</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outlineLevel="1">
      <c r="A3071" s="2171">
        <f t="shared" si="645"/>
        <v>0</v>
      </c>
      <c r="B3071" s="2241" t="s">
        <v>319</v>
      </c>
      <c r="C3071" s="2257"/>
      <c r="D3071" s="2141">
        <v>0</v>
      </c>
      <c r="E3071" s="2348" t="s">
        <v>5265</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outlineLevel="1">
      <c r="A3072" s="2171">
        <f t="shared" si="645"/>
        <v>0</v>
      </c>
      <c r="B3072" s="2241" t="s">
        <v>1915</v>
      </c>
      <c r="C3072" s="2257"/>
      <c r="D3072" s="2141" t="s">
        <v>5651</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outlineLevel="1">
      <c r="A3073" s="2171">
        <f t="shared" si="645"/>
        <v>0</v>
      </c>
      <c r="B3073" s="2241" t="s">
        <v>6</v>
      </c>
      <c r="C3073" s="2257"/>
      <c r="D3073" s="2141">
        <v>0</v>
      </c>
      <c r="E3073" s="2348" t="s">
        <v>3566</v>
      </c>
      <c r="F3073" s="2490" t="s">
        <v>5802</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outlineLevel="1">
      <c r="A3076" s="2171">
        <f t="shared" si="645"/>
        <v>0</v>
      </c>
      <c r="B3076" s="2241" t="s">
        <v>6247</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outlineLevel="1">
      <c r="A3077" s="2171">
        <f>A2927</f>
        <v>0</v>
      </c>
      <c r="B3077" s="2346"/>
      <c r="C3077" s="2561"/>
      <c r="D3077" s="2413"/>
      <c r="E3077" s="2388"/>
      <c r="F3077" s="2626"/>
      <c r="G3077" s="2627"/>
      <c r="H3077" s="2626"/>
      <c r="I3077" s="2626"/>
      <c r="J3077" s="2636" t="s">
        <v>6123</v>
      </c>
      <c r="K3077" s="2636"/>
      <c r="L3077" s="2414">
        <f>SUM(L2946:L3076)</f>
        <v>0</v>
      </c>
      <c r="M3077" s="2414">
        <f>SUM(M2946:M3076)</f>
        <v>0</v>
      </c>
      <c r="N3077" s="2414">
        <f>SUM(N2946:N3076)</f>
        <v>0</v>
      </c>
      <c r="O3077" s="2414">
        <f>SUM(O2946:O3076)</f>
        <v>0</v>
      </c>
      <c r="P3077" s="2557"/>
      <c r="Q3077" s="2255"/>
      <c r="R3077" s="2255"/>
      <c r="S3077" s="2255"/>
    </row>
    <row r="3078" spans="1:19" s="2094" customFormat="1"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5"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outlineLevel="1">
      <c r="A3081" s="2171">
        <f>A3079</f>
        <v>0</v>
      </c>
      <c r="B3081" s="2250" t="s">
        <v>6104</v>
      </c>
      <c r="C3081" s="2637" t="s">
        <v>1708</v>
      </c>
      <c r="D3081" s="2638" t="s">
        <v>2597</v>
      </c>
      <c r="E3081" s="2640" t="s">
        <v>2598</v>
      </c>
      <c r="F3081" s="2637" t="s">
        <v>2593</v>
      </c>
      <c r="G3081" s="2098" t="s">
        <v>6105</v>
      </c>
      <c r="H3081" s="2101" t="s">
        <v>6106</v>
      </c>
      <c r="I3081" s="2608"/>
      <c r="J3081" s="2608"/>
      <c r="K3081" s="2609"/>
      <c r="L3081" s="2101" t="s">
        <v>6107</v>
      </c>
      <c r="M3081" s="2608"/>
      <c r="N3081" s="2608"/>
      <c r="O3081" s="2609"/>
      <c r="P3081" s="2637" t="s">
        <v>2599</v>
      </c>
      <c r="Q3081" s="2255"/>
      <c r="R3081" s="2255"/>
      <c r="S3081" s="2255"/>
    </row>
    <row r="3082" spans="1:19" s="2094" customFormat="1" outlineLevel="1">
      <c r="A3082" s="2171">
        <f>A3081</f>
        <v>0</v>
      </c>
      <c r="B3082" s="2250"/>
      <c r="C3082" s="2637"/>
      <c r="D3082" s="2639"/>
      <c r="E3082" s="2641"/>
      <c r="F3082" s="2637"/>
      <c r="G3082" s="2100" t="s">
        <v>2286</v>
      </c>
      <c r="H3082" s="2101" t="s">
        <v>6108</v>
      </c>
      <c r="I3082" s="2101" t="s">
        <v>6109</v>
      </c>
      <c r="J3082" s="2101" t="s">
        <v>6110</v>
      </c>
      <c r="K3082" s="2101" t="s">
        <v>6111</v>
      </c>
      <c r="L3082" s="2101" t="s">
        <v>6108</v>
      </c>
      <c r="M3082" s="2101" t="s">
        <v>6109</v>
      </c>
      <c r="N3082" s="2101" t="s">
        <v>6110</v>
      </c>
      <c r="O3082" s="2101" t="s">
        <v>6111</v>
      </c>
      <c r="P3082" s="2637"/>
      <c r="Q3082" s="2255"/>
      <c r="R3082" s="2255"/>
      <c r="S3082" s="2255"/>
    </row>
    <row r="3083" spans="1:19" s="2094" customFormat="1"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outlineLevel="1">
      <c r="A3084" s="2171" t="str">
        <f t="shared" ref="A3084:A3094" si="646">IF(G3084&lt;&gt;0,1,"")</f>
        <v/>
      </c>
      <c r="B3084" s="2241" t="str">
        <f>IF($F$8=15,"tr1500","tr15001")</f>
        <v>tr15001</v>
      </c>
      <c r="C3084" s="2257">
        <f>IF(G3084&gt;0,1,0)</f>
        <v>0</v>
      </c>
      <c r="D3084" s="2141" t="s">
        <v>5590</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outlineLevel="1">
      <c r="A3085" s="2171" t="str">
        <f t="shared" si="646"/>
        <v/>
      </c>
      <c r="B3085" s="2346" t="s">
        <v>393</v>
      </c>
      <c r="C3085" s="2257">
        <f>IF(G3085&gt;0,C3084+1,C3084)</f>
        <v>0</v>
      </c>
      <c r="D3085" s="2141" t="s">
        <v>5596</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6277</v>
      </c>
      <c r="Q3086" s="2255"/>
      <c r="R3086" s="2255"/>
      <c r="S3086" s="2255"/>
    </row>
    <row r="3087" spans="1:19" s="2094" customFormat="1" outlineLevel="1">
      <c r="A3087" s="2171" t="str">
        <f t="shared" si="646"/>
        <v/>
      </c>
      <c r="B3087" s="2107" t="str">
        <f>"FCO100-"&amp;$F$8</f>
        <v>FCO100-22</v>
      </c>
      <c r="C3087" s="2257">
        <f t="shared" si="651"/>
        <v>0</v>
      </c>
      <c r="D3087" s="2141" t="s">
        <v>5594</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outlineLevel="1">
      <c r="A3089" s="2171" t="str">
        <f t="shared" si="646"/>
        <v/>
      </c>
      <c r="B3089" s="2250" t="str">
        <f>"LA"&amp;$F$6</f>
        <v>LA18</v>
      </c>
      <c r="C3089" s="2257">
        <f t="shared" si="651"/>
        <v>0</v>
      </c>
      <c r="D3089" s="2141" t="s">
        <v>5598</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outlineLevel="1">
      <c r="A3091" s="2171" t="str">
        <f t="shared" si="646"/>
        <v/>
      </c>
      <c r="B3091" s="2346" t="s">
        <v>6286</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outlineLevel="1">
      <c r="A3093" s="2171" t="str">
        <f t="shared" si="646"/>
        <v/>
      </c>
      <c r="B3093" s="2241" t="str">
        <f>IF($F$8=15,"TU15","TU22")</f>
        <v>TU22</v>
      </c>
      <c r="C3093" s="2257">
        <f>IF(G3093&gt;0,C3092+1,C3092)</f>
        <v>0</v>
      </c>
      <c r="D3093" s="2141">
        <v>0</v>
      </c>
      <c r="E3093" s="2183" t="s">
        <v>5607</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outlineLevel="1">
      <c r="A3094" s="2171" t="str">
        <f t="shared" si="646"/>
        <v/>
      </c>
      <c r="B3094" s="2556" t="s">
        <v>1837</v>
      </c>
      <c r="C3094" s="2257">
        <f>IF(G3094&gt;0,C3093+1,C3093)</f>
        <v>0</v>
      </c>
      <c r="D3094" s="2141">
        <v>0</v>
      </c>
      <c r="E3094" s="2183" t="s">
        <v>5705</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outlineLevel="1">
      <c r="A3095" s="2171">
        <f>A3079</f>
        <v>0</v>
      </c>
      <c r="B3095" s="2250"/>
      <c r="C3095" s="2382"/>
      <c r="D3095" s="2383"/>
      <c r="E3095" s="2384"/>
      <c r="F3095" s="2382"/>
      <c r="G3095" s="2625"/>
      <c r="H3095" s="2382"/>
      <c r="I3095" s="2382"/>
      <c r="J3095" s="2106" t="s">
        <v>6113</v>
      </c>
      <c r="K3095" s="2382"/>
      <c r="L3095" s="2384">
        <f>SUM(L3084:L3094)</f>
        <v>0</v>
      </c>
      <c r="M3095" s="2384">
        <f>SUM(M3084:M3094)</f>
        <v>0</v>
      </c>
      <c r="N3095" s="2384">
        <f>SUM(N3084:N3094)</f>
        <v>0</v>
      </c>
      <c r="O3095" s="2384">
        <f>SUM(O3084:O3094)</f>
        <v>0</v>
      </c>
      <c r="P3095" s="2557"/>
      <c r="Q3095" s="2255"/>
      <c r="R3095" s="2255"/>
      <c r="S3095" s="2255"/>
    </row>
    <row r="3096" spans="1:19" s="2094" customFormat="1"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outlineLevel="1">
      <c r="A3097" s="2171" t="str">
        <f t="shared" ref="A3097:A3110" si="652">IF(G3097&lt;&gt;0,1,"")</f>
        <v/>
      </c>
      <c r="B3097" s="2390"/>
      <c r="C3097" s="2391">
        <f>IF(G3097&gt;0,1,0)</f>
        <v>0</v>
      </c>
      <c r="D3097" s="2141"/>
      <c r="E3097" s="2392" t="s">
        <v>6209</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outlineLevel="1">
      <c r="A3100" s="2171" t="str">
        <f t="shared" si="652"/>
        <v/>
      </c>
      <c r="B3100" s="2346" t="s">
        <v>1612</v>
      </c>
      <c r="C3100" s="2396"/>
      <c r="D3100" s="2141" t="s">
        <v>5353</v>
      </c>
      <c r="E3100" s="2397" t="s">
        <v>5354</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outlineLevel="1">
      <c r="A3101" s="2171" t="str">
        <f t="shared" si="652"/>
        <v/>
      </c>
      <c r="B3101" s="2346" t="s">
        <v>2234</v>
      </c>
      <c r="C3101" s="2396"/>
      <c r="D3101" s="2141"/>
      <c r="E3101" s="2397" t="s">
        <v>5320</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outlineLevel="1">
      <c r="A3102" s="2171" t="str">
        <f t="shared" si="652"/>
        <v/>
      </c>
      <c r="B3102" s="2346" t="s">
        <v>21</v>
      </c>
      <c r="C3102" s="2396"/>
      <c r="D3102" s="2141" t="s">
        <v>5321</v>
      </c>
      <c r="E3102" s="2397" t="s">
        <v>5322</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outlineLevel="1">
      <c r="A3103" s="2171" t="str">
        <f t="shared" si="652"/>
        <v/>
      </c>
      <c r="B3103" s="2346"/>
      <c r="C3103" s="2247">
        <f>IF(G3103&gt;0,C3097+1,C3097)</f>
        <v>0</v>
      </c>
      <c r="D3103" s="2141"/>
      <c r="E3103" s="2392" t="s">
        <v>6287</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outlineLevel="1">
      <c r="A3104" s="2171" t="str">
        <f t="shared" si="652"/>
        <v/>
      </c>
      <c r="B3104" s="2346" t="s">
        <v>751</v>
      </c>
      <c r="C3104" s="2396"/>
      <c r="D3104" s="2141">
        <v>0</v>
      </c>
      <c r="E3104" s="2397" t="s">
        <v>5285</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outlineLevel="1">
      <c r="A3107" s="2171" t="str">
        <f>IF(G3107&lt;&gt;0,1,"")</f>
        <v/>
      </c>
      <c r="B3107" s="2346" t="s">
        <v>2008</v>
      </c>
      <c r="C3107" s="2396"/>
      <c r="D3107" s="2141"/>
      <c r="E3107" s="2397" t="s">
        <v>5243</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outlineLevel="1">
      <c r="A3109" s="2171" t="str">
        <f t="shared" si="652"/>
        <v/>
      </c>
      <c r="B3109" s="2346" t="s">
        <v>639</v>
      </c>
      <c r="C3109" s="2396"/>
      <c r="D3109" s="2141" t="s">
        <v>1747</v>
      </c>
      <c r="E3109" s="2397" t="s">
        <v>5320</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outlineLevel="1">
      <c r="A3110" s="2171" t="str">
        <f t="shared" si="652"/>
        <v/>
      </c>
      <c r="B3110" s="2558" t="s">
        <v>1835</v>
      </c>
      <c r="C3110" s="2396"/>
      <c r="D3110" s="2141" t="s">
        <v>5467</v>
      </c>
      <c r="E3110" s="2397" t="s">
        <v>5469</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outlineLevel="1">
      <c r="A3111" s="2171" t="str">
        <f>IF(G3111&lt;&gt;0,1,"")</f>
        <v/>
      </c>
      <c r="B3111" s="2250"/>
      <c r="C3111" s="2247">
        <f>IF(G3111&gt;0,C3103+1,C3103)</f>
        <v>0</v>
      </c>
      <c r="D3111" s="2248"/>
      <c r="E3111" s="2406" t="s">
        <v>6263</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4.4" outlineLevel="1">
      <c r="A3112" s="2171" t="str">
        <f>A3111</f>
        <v/>
      </c>
      <c r="B3112" s="2250"/>
      <c r="C3112" s="2247"/>
      <c r="D3112" s="2248"/>
      <c r="E3112" s="2256" t="s">
        <v>6125</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outlineLevel="1">
      <c r="A3117" s="2171" t="str">
        <f t="shared" si="657"/>
        <v/>
      </c>
      <c r="B3117" s="2250" t="s">
        <v>2242</v>
      </c>
      <c r="C3117" s="2247"/>
      <c r="D3117" s="2141" t="s">
        <v>730</v>
      </c>
      <c r="E3117" s="2183" t="s">
        <v>2440</v>
      </c>
      <c r="F3117" s="2141" t="s">
        <v>2385</v>
      </c>
      <c r="G3117" s="2258">
        <f>G3111</f>
        <v>0</v>
      </c>
      <c r="H3117" s="2348">
        <v>0</v>
      </c>
      <c r="I3117" s="2348"/>
      <c r="J3117" s="2348" t="s">
        <v>6337</v>
      </c>
      <c r="K3117" s="2348"/>
      <c r="L3117" s="2349">
        <f t="shared" si="653"/>
        <v>0</v>
      </c>
      <c r="M3117" s="2349"/>
      <c r="N3117" s="2348">
        <v>0</v>
      </c>
      <c r="O3117" s="2349"/>
      <c r="P3117" s="2254"/>
      <c r="Q3117" s="2255"/>
      <c r="R3117" s="2255"/>
      <c r="S3117" s="2255"/>
    </row>
    <row r="3118" spans="1:19" s="2094" customFormat="1" outlineLevel="1" collapsed="1">
      <c r="A3118" s="2171" t="str">
        <f t="shared" si="657"/>
        <v/>
      </c>
      <c r="B3118" s="2250"/>
      <c r="C3118" s="2247">
        <f>IF(G3118&gt;0,C3111+1,C3111)</f>
        <v>0</v>
      </c>
      <c r="D3118" s="2248"/>
      <c r="E3118" s="2406" t="s">
        <v>6288</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4.4" outlineLevel="1">
      <c r="A3119" s="2171" t="str">
        <f>A3118</f>
        <v/>
      </c>
      <c r="B3119" s="2250"/>
      <c r="C3119" s="2247"/>
      <c r="D3119" s="2248"/>
      <c r="E3119" s="2256" t="s">
        <v>6125</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outlineLevel="1">
      <c r="A3125" s="2171" t="str">
        <f t="shared" si="658"/>
        <v/>
      </c>
      <c r="B3125" s="2250" t="s">
        <v>516</v>
      </c>
      <c r="C3125" s="2247"/>
      <c r="D3125" s="2141" t="s">
        <v>1457</v>
      </c>
      <c r="E3125" s="2183" t="s">
        <v>5418</v>
      </c>
      <c r="F3125" s="2141" t="s">
        <v>2385</v>
      </c>
      <c r="G3125" s="2258">
        <f>G3118</f>
        <v>0</v>
      </c>
      <c r="H3125" s="2253">
        <v>0</v>
      </c>
      <c r="I3125" s="2253"/>
      <c r="J3125" s="2253" t="s">
        <v>6383</v>
      </c>
      <c r="K3125" s="2253"/>
      <c r="L3125" s="2253">
        <f t="shared" si="653"/>
        <v>0</v>
      </c>
      <c r="M3125" s="2253"/>
      <c r="N3125" s="2253">
        <v>0</v>
      </c>
      <c r="O3125" s="2253"/>
      <c r="P3125" s="2254"/>
      <c r="Q3125" s="2255"/>
      <c r="R3125" s="2255"/>
      <c r="S3125" s="2255"/>
    </row>
    <row r="3126" spans="1:19" s="2094" customFormat="1" outlineLevel="1">
      <c r="A3126" s="2171" t="str">
        <f t="shared" si="658"/>
        <v/>
      </c>
      <c r="B3126" s="2250"/>
      <c r="C3126" s="2247">
        <f>IF(G3126&gt;0,C3118+1,C3118)</f>
        <v>0</v>
      </c>
      <c r="D3126" s="2248"/>
      <c r="E3126" s="2406" t="s">
        <v>6281</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4.4" outlineLevel="1">
      <c r="A3127" s="2171" t="str">
        <f>A3126</f>
        <v/>
      </c>
      <c r="B3127" s="2250"/>
      <c r="C3127" s="2247"/>
      <c r="D3127" s="2248"/>
      <c r="E3127" s="2256" t="s">
        <v>6125</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outlineLevel="1">
      <c r="A3132" s="2171" t="str">
        <f t="shared" si="659"/>
        <v/>
      </c>
      <c r="B3132" s="2250" t="s">
        <v>988</v>
      </c>
      <c r="C3132" s="2247"/>
      <c r="D3132" s="2141">
        <v>0</v>
      </c>
      <c r="E3132" s="2183" t="s">
        <v>5266</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outlineLevel="1">
      <c r="A3133" s="2171" t="str">
        <f t="shared" si="659"/>
        <v/>
      </c>
      <c r="B3133" s="2250" t="s">
        <v>1995</v>
      </c>
      <c r="C3133" s="2247"/>
      <c r="D3133" s="2141" t="s">
        <v>2265</v>
      </c>
      <c r="E3133" s="2183" t="s">
        <v>5375</v>
      </c>
      <c r="F3133" s="2141" t="s">
        <v>2385</v>
      </c>
      <c r="G3133" s="2258">
        <f>G3126</f>
        <v>0</v>
      </c>
      <c r="H3133" s="2253">
        <v>0</v>
      </c>
      <c r="I3133" s="2253"/>
      <c r="J3133" s="2253" t="s">
        <v>6336</v>
      </c>
      <c r="K3133" s="2253"/>
      <c r="L3133" s="2253">
        <f t="shared" si="653"/>
        <v>0</v>
      </c>
      <c r="M3133" s="2253"/>
      <c r="N3133" s="2253">
        <v>0</v>
      </c>
      <c r="O3133" s="2253"/>
      <c r="P3133" s="2254"/>
      <c r="Q3133" s="2255"/>
      <c r="R3133" s="2255"/>
      <c r="S3133" s="2255"/>
    </row>
    <row r="3134" spans="1:19" s="2094" customFormat="1" outlineLevel="1">
      <c r="A3134" s="2171" t="str">
        <f t="shared" si="659"/>
        <v/>
      </c>
      <c r="B3134" s="2250"/>
      <c r="C3134" s="2247">
        <f>IF(G3134&gt;0,C3126+1,C3126)</f>
        <v>0</v>
      </c>
      <c r="D3134" s="2248"/>
      <c r="E3134" s="2406" t="s">
        <v>4375</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4.4" outlineLevel="1">
      <c r="A3135" s="2171" t="str">
        <f>A3134</f>
        <v/>
      </c>
      <c r="B3135" s="2407"/>
      <c r="C3135" s="2247"/>
      <c r="D3135" s="2248"/>
      <c r="E3135" s="2256" t="s">
        <v>6282</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outlineLevel="1">
      <c r="A3137" s="2171" t="str">
        <f t="shared" si="661"/>
        <v/>
      </c>
      <c r="B3137" s="2241" t="s">
        <v>1508</v>
      </c>
      <c r="C3137" s="2247"/>
      <c r="D3137" s="2141">
        <v>0</v>
      </c>
      <c r="E3137" s="2183" t="s">
        <v>5159</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outlineLevel="1">
      <c r="A3138" s="2171" t="str">
        <f>IF(G3138&lt;&gt;0,1,"")</f>
        <v/>
      </c>
      <c r="B3138" s="2241" t="s">
        <v>1585</v>
      </c>
      <c r="C3138" s="2247"/>
      <c r="D3138" s="2141">
        <v>0</v>
      </c>
      <c r="E3138" s="2183" t="s">
        <v>5709</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outlineLevel="1">
      <c r="A3141" s="2171" t="str">
        <f t="shared" si="661"/>
        <v/>
      </c>
      <c r="B3141" s="2241" t="s">
        <v>525</v>
      </c>
      <c r="C3141" s="2247"/>
      <c r="D3141" s="2141">
        <v>0</v>
      </c>
      <c r="E3141" s="2183" t="s">
        <v>5248</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outlineLevel="1">
      <c r="A3143" s="2171">
        <f>IF(G3143=0,0,1)</f>
        <v>0</v>
      </c>
      <c r="B3143" s="2241" t="s">
        <v>794</v>
      </c>
      <c r="C3143" s="2257"/>
      <c r="D3143" s="2141" t="s">
        <v>5332</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outlineLevel="1">
      <c r="A3144" s="2171">
        <f>IF(G3144=0,0,1)</f>
        <v>0</v>
      </c>
      <c r="B3144" s="2241" t="s">
        <v>798</v>
      </c>
      <c r="C3144" s="2257"/>
      <c r="D3144" s="2141" t="s">
        <v>5321</v>
      </c>
      <c r="E3144" s="2183" t="s">
        <v>5333</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outlineLevel="1">
      <c r="A3145" s="2171">
        <f>IF(G3145=0,0,1)</f>
        <v>0</v>
      </c>
      <c r="B3145" s="2241" t="s">
        <v>902</v>
      </c>
      <c r="C3145" s="2257"/>
      <c r="D3145" s="2141" t="s">
        <v>5347</v>
      </c>
      <c r="E3145" s="2183" t="s">
        <v>5348</v>
      </c>
      <c r="F3145" s="2490" t="s">
        <v>856</v>
      </c>
      <c r="G3145" s="2409">
        <f>G3137</f>
        <v>0</v>
      </c>
      <c r="H3145" s="2253">
        <v>0</v>
      </c>
      <c r="I3145" s="2253"/>
      <c r="J3145" s="2253" t="s">
        <v>6304</v>
      </c>
      <c r="K3145" s="2253">
        <v>0</v>
      </c>
      <c r="L3145" s="2253">
        <f>H3145*$G3145</f>
        <v>0</v>
      </c>
      <c r="M3145" s="2253">
        <f>I3145*$G3145</f>
        <v>0</v>
      </c>
      <c r="N3145" s="2253">
        <v>0</v>
      </c>
      <c r="O3145" s="2253">
        <f>K3145*$G3145</f>
        <v>0</v>
      </c>
      <c r="P3145" s="2254"/>
      <c r="Q3145" s="2255"/>
      <c r="R3145" s="2255"/>
      <c r="S3145" s="2255"/>
    </row>
    <row r="3146" spans="1:19" s="2094" customFormat="1" outlineLevel="1">
      <c r="A3146" s="2171" t="str">
        <f>IF(G3146&lt;&gt;0,1,"")</f>
        <v/>
      </c>
      <c r="B3146" s="2241" t="s">
        <v>1437</v>
      </c>
      <c r="C3146" s="2247"/>
      <c r="D3146" s="2141" t="s">
        <v>5342</v>
      </c>
      <c r="E3146" s="2183" t="s">
        <v>5343</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outlineLevel="1">
      <c r="A3147" s="2171" t="str">
        <f>IF(G3147&lt;&gt;0,1,"")</f>
        <v/>
      </c>
      <c r="B3147" s="2250"/>
      <c r="C3147" s="2247">
        <f>IF(G3147&gt;0,C3134+1,C3134)</f>
        <v>0</v>
      </c>
      <c r="D3147" s="2248"/>
      <c r="E3147" s="2365" t="s">
        <v>6283</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4.4" outlineLevel="1">
      <c r="A3148" s="2171" t="str">
        <f>A3147</f>
        <v/>
      </c>
      <c r="B3148" s="2250"/>
      <c r="C3148" s="2247"/>
      <c r="D3148" s="2248"/>
      <c r="E3148" s="2256" t="s">
        <v>6125</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outlineLevel="1">
      <c r="A3149" s="2171" t="str">
        <f>IF(G3149&lt;&gt;0,1,"")</f>
        <v/>
      </c>
      <c r="B3149" s="2250" t="s">
        <v>6289</v>
      </c>
      <c r="C3149" s="2257"/>
      <c r="D3149" s="2141" t="s">
        <v>5629</v>
      </c>
      <c r="E3149" s="2183" t="s">
        <v>5635</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outlineLevel="1">
      <c r="A3150" s="2171" t="str">
        <f>IF(G3150&lt;&gt;0,1,"")</f>
        <v/>
      </c>
      <c r="B3150" s="2250" t="s">
        <v>289</v>
      </c>
      <c r="C3150" s="2257"/>
      <c r="D3150" s="2141">
        <v>0</v>
      </c>
      <c r="E3150" s="2183" t="s">
        <v>5708</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4.4" outlineLevel="1">
      <c r="A3152" s="2171" t="str">
        <f>A3151</f>
        <v/>
      </c>
      <c r="B3152" s="2250"/>
      <c r="C3152" s="2247"/>
      <c r="D3152" s="2248"/>
      <c r="E3152" s="2256" t="s">
        <v>6125</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outlineLevel="1">
      <c r="A3153" s="2171" t="str">
        <f t="shared" ref="A3153:A3161" si="667">IF(G3153&lt;&gt;0,1,"")</f>
        <v/>
      </c>
      <c r="B3153" s="2543" t="s">
        <v>752</v>
      </c>
      <c r="C3153" s="2257"/>
      <c r="D3153" s="2141">
        <v>0</v>
      </c>
      <c r="E3153" s="2348" t="s">
        <v>6384</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outlineLevel="1">
      <c r="A3154" s="2171" t="str">
        <f t="shared" si="667"/>
        <v/>
      </c>
      <c r="B3154" s="2543" t="s">
        <v>867</v>
      </c>
      <c r="C3154" s="2257"/>
      <c r="D3154" s="2141">
        <v>0</v>
      </c>
      <c r="E3154" s="2348" t="s">
        <v>6385</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outlineLevel="1">
      <c r="A3155" s="2171" t="str">
        <f t="shared" si="667"/>
        <v/>
      </c>
      <c r="B3155" s="2543" t="s">
        <v>1675</v>
      </c>
      <c r="C3155" s="2257"/>
      <c r="D3155" s="2141">
        <v>0</v>
      </c>
      <c r="E3155" s="2348" t="s">
        <v>6369</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outlineLevel="1">
      <c r="A3156" s="2171" t="str">
        <f t="shared" si="667"/>
        <v/>
      </c>
      <c r="B3156" s="2543" t="s">
        <v>1676</v>
      </c>
      <c r="C3156" s="2257"/>
      <c r="D3156" s="2141" t="s">
        <v>5286</v>
      </c>
      <c r="E3156" s="2348" t="s">
        <v>6370</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outlineLevel="1">
      <c r="A3158" s="2171" t="str">
        <f t="shared" si="667"/>
        <v/>
      </c>
      <c r="B3158" s="2543" t="s">
        <v>1678</v>
      </c>
      <c r="C3158" s="2257"/>
      <c r="D3158" s="2141" t="s">
        <v>5329</v>
      </c>
      <c r="E3158" s="2348" t="s">
        <v>5330</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outlineLevel="1">
      <c r="A3159" s="2171" t="str">
        <f t="shared" si="667"/>
        <v/>
      </c>
      <c r="B3159" s="2543" t="s">
        <v>144</v>
      </c>
      <c r="C3159" s="2257"/>
      <c r="D3159" s="2141" t="s">
        <v>5323</v>
      </c>
      <c r="E3159" s="2348" t="s">
        <v>6372</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outlineLevel="1">
      <c r="A3160" s="2171" t="str">
        <f t="shared" si="667"/>
        <v/>
      </c>
      <c r="B3160" s="2543" t="s">
        <v>529</v>
      </c>
      <c r="C3160" s="2257"/>
      <c r="D3160" s="2141" t="s">
        <v>5328</v>
      </c>
      <c r="E3160" s="2348" t="s">
        <v>6386</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4.4" outlineLevel="1">
      <c r="A3162" s="2171" t="str">
        <f>A3161</f>
        <v/>
      </c>
      <c r="B3162" s="2250"/>
      <c r="C3162" s="2247"/>
      <c r="D3162" s="2248"/>
      <c r="E3162" s="2256" t="s">
        <v>6125</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outlineLevel="1">
      <c r="A3163" s="2171" t="str">
        <f t="shared" ref="A3163:A3170" si="668">IF(G3163&lt;&gt;0,1,"")</f>
        <v/>
      </c>
      <c r="B3163" s="2250" t="s">
        <v>623</v>
      </c>
      <c r="C3163" s="2257"/>
      <c r="D3163" s="2141" t="s">
        <v>5301</v>
      </c>
      <c r="E3163" s="2183" t="s">
        <v>5302</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outlineLevel="1">
      <c r="A3168" s="2171" t="str">
        <f t="shared" si="668"/>
        <v/>
      </c>
      <c r="B3168" s="2250" t="s">
        <v>1410</v>
      </c>
      <c r="C3168" s="2247"/>
      <c r="D3168" s="2141" t="s">
        <v>5337</v>
      </c>
      <c r="E3168" s="2183" t="s">
        <v>5338</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outlineLevel="1">
      <c r="A3169" s="2171" t="str">
        <f t="shared" si="668"/>
        <v/>
      </c>
      <c r="B3169" s="2250" t="s">
        <v>289</v>
      </c>
      <c r="C3169" s="2257"/>
      <c r="D3169" s="2141">
        <v>0</v>
      </c>
      <c r="E3169" s="2183" t="s">
        <v>5708</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4.4" outlineLevel="1">
      <c r="A3171" s="2171" t="str">
        <f>A3170</f>
        <v/>
      </c>
      <c r="B3171" s="2250"/>
      <c r="C3171" s="2247"/>
      <c r="D3171" s="2248"/>
      <c r="E3171" s="2263" t="s">
        <v>6125</v>
      </c>
      <c r="F3171" s="2247"/>
      <c r="G3171" s="2252"/>
      <c r="H3171" s="2253"/>
      <c r="I3171" s="2253"/>
      <c r="J3171" s="2253"/>
      <c r="K3171" s="2253"/>
      <c r="L3171" s="2253"/>
      <c r="M3171" s="2253"/>
      <c r="N3171" s="2253"/>
      <c r="O3171" s="2253"/>
      <c r="P3171" s="2254"/>
      <c r="Q3171" s="2255"/>
      <c r="R3171" s="2255"/>
      <c r="S3171" s="2255"/>
    </row>
    <row r="3172" spans="1:19" s="2094" customFormat="1"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outlineLevel="1">
      <c r="A3178" s="2171" t="str">
        <f t="shared" si="669"/>
        <v/>
      </c>
      <c r="B3178" s="2241" t="s">
        <v>1674</v>
      </c>
      <c r="C3178" s="2257"/>
      <c r="D3178" s="2141" t="s">
        <v>5455</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outlineLevel="1">
      <c r="A3179" s="2171" t="str">
        <f t="shared" si="669"/>
        <v/>
      </c>
      <c r="B3179" s="2241" t="s">
        <v>1182</v>
      </c>
      <c r="C3179" s="2257"/>
      <c r="D3179" s="2141" t="s">
        <v>5548</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outlineLevel="1">
      <c r="A3180" s="2171" t="str">
        <f t="shared" si="669"/>
        <v/>
      </c>
      <c r="B3180" s="2241" t="s">
        <v>1525</v>
      </c>
      <c r="C3180" s="2257"/>
      <c r="D3180" s="2141" t="s">
        <v>5567</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4.4" outlineLevel="1">
      <c r="A3183" s="2171" t="str">
        <f>A3182</f>
        <v/>
      </c>
      <c r="B3183" s="2250"/>
      <c r="C3183" s="2247"/>
      <c r="D3183" s="2248"/>
      <c r="E3183" s="2263" t="s">
        <v>6125</v>
      </c>
      <c r="F3183" s="2247"/>
      <c r="G3183" s="2252"/>
      <c r="H3183" s="2253"/>
      <c r="I3183" s="2253"/>
      <c r="J3183" s="2253"/>
      <c r="K3183" s="2253"/>
      <c r="L3183" s="2253"/>
      <c r="M3183" s="2253"/>
      <c r="N3183" s="2253"/>
      <c r="O3183" s="2253"/>
      <c r="P3183" s="2254"/>
      <c r="Q3183" s="2255"/>
      <c r="R3183" s="2255"/>
      <c r="S3183" s="2255"/>
    </row>
    <row r="3184" spans="1:19" s="2094" customFormat="1" outlineLevel="1">
      <c r="A3184" s="2171" t="str">
        <f t="shared" ref="A3184:A3189" si="674">IF(G3184&lt;&gt;0,1,"")</f>
        <v/>
      </c>
      <c r="B3184" s="2241" t="s">
        <v>697</v>
      </c>
      <c r="C3184" s="2257"/>
      <c r="D3184" s="2141">
        <v>0</v>
      </c>
      <c r="E3184" s="2183" t="s">
        <v>5083</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outlineLevel="1">
      <c r="A3187" s="2171" t="str">
        <f t="shared" si="674"/>
        <v/>
      </c>
      <c r="B3187" s="2346" t="s">
        <v>1477</v>
      </c>
      <c r="C3187" s="2257"/>
      <c r="D3187" s="2141">
        <v>0</v>
      </c>
      <c r="E3187" s="2183" t="s">
        <v>6338</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outlineLevel="1">
      <c r="A3190" s="2171" t="str">
        <f>IF(G3190&lt;&gt;0,1,"")</f>
        <v/>
      </c>
      <c r="B3190" s="2241" t="s">
        <v>347</v>
      </c>
      <c r="C3190" s="2257"/>
      <c r="D3190" s="2141" t="s">
        <v>5556</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outlineLevel="1">
      <c r="A3191" s="2171" t="str">
        <f>IF(G3191&lt;&gt;0,1,"")</f>
        <v/>
      </c>
      <c r="B3191" s="2241"/>
      <c r="C3191" s="2247">
        <f>IF(G3191&gt;0,C3182+1,C3182)</f>
        <v>0</v>
      </c>
      <c r="D3191" s="2248"/>
      <c r="E3191" s="2249" t="s">
        <v>6285</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4.4" outlineLevel="1">
      <c r="A3192" s="2171" t="str">
        <f>A3191</f>
        <v/>
      </c>
      <c r="B3192" s="2241"/>
      <c r="C3192" s="2247"/>
      <c r="D3192" s="2248"/>
      <c r="E3192" s="2263" t="s">
        <v>6125</v>
      </c>
      <c r="F3192" s="2247"/>
      <c r="G3192" s="2258"/>
      <c r="H3192" s="2253"/>
      <c r="I3192" s="2253"/>
      <c r="J3192" s="2253"/>
      <c r="K3192" s="2253"/>
      <c r="L3192" s="2253"/>
      <c r="M3192" s="2253"/>
      <c r="N3192" s="2253"/>
      <c r="O3192" s="2253"/>
      <c r="P3192" s="2254"/>
      <c r="Q3192" s="2255"/>
      <c r="R3192" s="2255"/>
      <c r="S3192" s="2255"/>
    </row>
    <row r="3193" spans="1:19" s="2094" customFormat="1"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outlineLevel="1">
      <c r="A3194" s="2171" t="str">
        <f t="shared" si="678"/>
        <v/>
      </c>
      <c r="B3194" s="2250" t="s">
        <v>448</v>
      </c>
      <c r="C3194" s="2257"/>
      <c r="D3194" s="2141" t="s">
        <v>5728</v>
      </c>
      <c r="E3194" s="2183" t="s">
        <v>6389</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outlineLevel="1">
      <c r="A3195" s="2171" t="str">
        <f t="shared" si="678"/>
        <v/>
      </c>
      <c r="B3195" s="2250" t="s">
        <v>1072</v>
      </c>
      <c r="C3195" s="2257"/>
      <c r="D3195" s="2141">
        <v>0</v>
      </c>
      <c r="E3195" s="2183" t="s">
        <v>6390</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outlineLevel="1">
      <c r="A3197" s="2171" t="str">
        <f t="shared" si="678"/>
        <v/>
      </c>
      <c r="B3197" s="2241" t="s">
        <v>731</v>
      </c>
      <c r="C3197" s="2257"/>
      <c r="D3197" s="2141">
        <v>0</v>
      </c>
      <c r="E3197" s="2183" t="s">
        <v>5254</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outlineLevel="1">
      <c r="A3198" s="2171" t="str">
        <f t="shared" si="678"/>
        <v/>
      </c>
      <c r="B3198" s="2250" t="s">
        <v>1043</v>
      </c>
      <c r="C3198" s="2257"/>
      <c r="D3198" s="2141">
        <v>0</v>
      </c>
      <c r="E3198" s="2183" t="s">
        <v>5794</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outlineLevel="1">
      <c r="A3200" s="2171" t="str">
        <f t="shared" si="678"/>
        <v/>
      </c>
      <c r="B3200" s="2250" t="s">
        <v>2168</v>
      </c>
      <c r="C3200" s="2257"/>
      <c r="D3200" s="2141">
        <v>0</v>
      </c>
      <c r="E3200" s="2183" t="s">
        <v>6391</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outlineLevel="1">
      <c r="A3201" s="2171" t="str">
        <f t="shared" si="678"/>
        <v/>
      </c>
      <c r="B3201" s="2250" t="s">
        <v>726</v>
      </c>
      <c r="C3201" s="2257"/>
      <c r="D3201" s="2141">
        <v>0</v>
      </c>
      <c r="E3201" s="2183" t="s">
        <v>6392</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outlineLevel="1">
      <c r="A3202" s="2171" t="str">
        <f>IF(G3202&lt;&gt;0,1,"")</f>
        <v/>
      </c>
      <c r="B3202" s="2241" t="s">
        <v>6</v>
      </c>
      <c r="C3202" s="2257"/>
      <c r="D3202" s="2141"/>
      <c r="E3202" s="2183" t="s">
        <v>6393</v>
      </c>
      <c r="F3202" s="2141" t="s">
        <v>5802</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outlineLevel="1">
      <c r="A3204" s="2171" t="str">
        <f>IF(G3204&lt;&gt;0,1,"")</f>
        <v/>
      </c>
      <c r="B3204" s="2241" t="s">
        <v>672</v>
      </c>
      <c r="C3204" s="2257"/>
      <c r="D3204" s="2141">
        <v>0</v>
      </c>
      <c r="E3204" s="2183" t="s">
        <v>5797</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outlineLevel="1">
      <c r="A3205" s="2171" t="str">
        <f>IF(G3205&lt;&gt;0,1,"")</f>
        <v/>
      </c>
      <c r="B3205" s="2241" t="s">
        <v>247</v>
      </c>
      <c r="C3205" s="2560"/>
      <c r="D3205" s="2141" t="s">
        <v>5569</v>
      </c>
      <c r="E3205" s="2183" t="s">
        <v>6394</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outlineLevel="1">
      <c r="A3206" s="2171" t="str">
        <f>IF(G3206&lt;&gt;0,1,"")</f>
        <v/>
      </c>
      <c r="B3206" s="2241"/>
      <c r="C3206" s="2247">
        <f>IF(G3206&gt;0,C3191+1,C3191)</f>
        <v>0</v>
      </c>
      <c r="D3206" s="2248"/>
      <c r="E3206" s="2249" t="s">
        <v>6245</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4.4" outlineLevel="1">
      <c r="A3207" s="2171" t="str">
        <f>A3206</f>
        <v/>
      </c>
      <c r="B3207" s="2489"/>
      <c r="C3207" s="2247"/>
      <c r="D3207" s="2248"/>
      <c r="E3207" s="2263" t="s">
        <v>6125</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outlineLevel="1">
      <c r="A3209" s="2171">
        <f>IF(G3209=0,0,1)</f>
        <v>0</v>
      </c>
      <c r="B3209" s="2241" t="s">
        <v>6246</v>
      </c>
      <c r="C3209" s="2257"/>
      <c r="D3209" s="2141">
        <v>0</v>
      </c>
      <c r="E3209" s="2348" t="s">
        <v>5049</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outlineLevel="1">
      <c r="A3210" s="2171">
        <f>IF(G3210=0,0,1)</f>
        <v>0</v>
      </c>
      <c r="B3210" s="2241" t="s">
        <v>6247</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outlineLevel="1">
      <c r="A3211" s="2171">
        <f t="shared" si="683"/>
        <v>0</v>
      </c>
      <c r="B3211" s="2250" t="s">
        <v>246</v>
      </c>
      <c r="C3211" s="2378"/>
      <c r="D3211" s="2141">
        <v>0</v>
      </c>
      <c r="E3211" s="2348" t="s">
        <v>5865</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outlineLevel="1">
      <c r="A3220" s="2171">
        <f t="shared" si="683"/>
        <v>0</v>
      </c>
      <c r="B3220" s="2241" t="s">
        <v>672</v>
      </c>
      <c r="C3220" s="2257"/>
      <c r="D3220" s="2141">
        <v>0</v>
      </c>
      <c r="E3220" s="2348" t="s">
        <v>5797</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outlineLevel="1">
      <c r="A3223" s="2171">
        <f t="shared" si="683"/>
        <v>0</v>
      </c>
      <c r="B3223" s="2241" t="s">
        <v>319</v>
      </c>
      <c r="C3223" s="2257"/>
      <c r="D3223" s="2141">
        <v>0</v>
      </c>
      <c r="E3223" s="2348" t="s">
        <v>5265</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outlineLevel="1">
      <c r="A3224" s="2171">
        <f t="shared" si="683"/>
        <v>0</v>
      </c>
      <c r="B3224" s="2241" t="s">
        <v>1915</v>
      </c>
      <c r="C3224" s="2257"/>
      <c r="D3224" s="2141" t="s">
        <v>5651</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outlineLevel="1">
      <c r="A3225" s="2171">
        <f t="shared" si="683"/>
        <v>0</v>
      </c>
      <c r="B3225" s="2241" t="s">
        <v>6</v>
      </c>
      <c r="C3225" s="2257"/>
      <c r="D3225" s="2141">
        <v>0</v>
      </c>
      <c r="E3225" s="2348" t="s">
        <v>3566</v>
      </c>
      <c r="F3225" s="2490" t="s">
        <v>5802</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outlineLevel="1">
      <c r="A3227" s="2171">
        <f t="shared" si="683"/>
        <v>0</v>
      </c>
      <c r="B3227" s="2241" t="s">
        <v>1035</v>
      </c>
      <c r="C3227" s="2257"/>
      <c r="D3227" s="2141">
        <v>0</v>
      </c>
      <c r="E3227" s="2348" t="s">
        <v>6381</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outlineLevel="1">
      <c r="A3228" s="2171">
        <f t="shared" si="683"/>
        <v>0</v>
      </c>
      <c r="B3228" s="2241" t="s">
        <v>6247</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outlineLevel="1">
      <c r="A3229" s="2171">
        <f>A3079</f>
        <v>0</v>
      </c>
      <c r="B3229" s="2346"/>
      <c r="C3229" s="2561"/>
      <c r="D3229" s="2413"/>
      <c r="E3229" s="2388"/>
      <c r="F3229" s="2626"/>
      <c r="G3229" s="2627"/>
      <c r="H3229" s="2626"/>
      <c r="I3229" s="2626"/>
      <c r="J3229" s="2636" t="s">
        <v>6123</v>
      </c>
      <c r="K3229" s="2636"/>
      <c r="L3229" s="2414">
        <f>SUM(L3098:L3228)</f>
        <v>0</v>
      </c>
      <c r="M3229" s="2414">
        <f>SUM(M3098:M3228)</f>
        <v>0</v>
      </c>
      <c r="N3229" s="2414">
        <f>SUM(N3098:N3228)</f>
        <v>0</v>
      </c>
      <c r="O3229" s="2414">
        <f>SUM(O3098:O3228)</f>
        <v>0</v>
      </c>
      <c r="P3229" s="2557"/>
      <c r="Q3229" s="2255"/>
      <c r="R3229" s="2255"/>
      <c r="S3229" s="2255"/>
    </row>
    <row r="3230" spans="1:19" s="2094" customFormat="1"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5"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outlineLevel="1">
      <c r="A3233" s="2171">
        <f>A3231</f>
        <v>0</v>
      </c>
      <c r="B3233" s="2250" t="s">
        <v>6104</v>
      </c>
      <c r="C3233" s="2637" t="s">
        <v>1708</v>
      </c>
      <c r="D3233" s="2638" t="s">
        <v>2597</v>
      </c>
      <c r="E3233" s="2640" t="s">
        <v>2598</v>
      </c>
      <c r="F3233" s="2637" t="s">
        <v>2593</v>
      </c>
      <c r="G3233" s="2098" t="s">
        <v>6105</v>
      </c>
      <c r="H3233" s="2101" t="s">
        <v>6106</v>
      </c>
      <c r="I3233" s="2608"/>
      <c r="J3233" s="2608"/>
      <c r="K3233" s="2609"/>
      <c r="L3233" s="2101" t="s">
        <v>6107</v>
      </c>
      <c r="M3233" s="2608"/>
      <c r="N3233" s="2608"/>
      <c r="O3233" s="2609"/>
      <c r="P3233" s="2637" t="s">
        <v>2599</v>
      </c>
      <c r="Q3233" s="2255"/>
      <c r="R3233" s="2255"/>
      <c r="S3233" s="2255"/>
    </row>
    <row r="3234" spans="1:19" s="2094" customFormat="1" outlineLevel="1">
      <c r="A3234" s="2171">
        <f>A3233</f>
        <v>0</v>
      </c>
      <c r="B3234" s="2250"/>
      <c r="C3234" s="2637"/>
      <c r="D3234" s="2639"/>
      <c r="E3234" s="2641"/>
      <c r="F3234" s="2637"/>
      <c r="G3234" s="2100" t="s">
        <v>2286</v>
      </c>
      <c r="H3234" s="2101" t="s">
        <v>6108</v>
      </c>
      <c r="I3234" s="2101" t="s">
        <v>6109</v>
      </c>
      <c r="J3234" s="2101" t="s">
        <v>6110</v>
      </c>
      <c r="K3234" s="2101" t="s">
        <v>6111</v>
      </c>
      <c r="L3234" s="2101" t="s">
        <v>6108</v>
      </c>
      <c r="M3234" s="2101" t="s">
        <v>6109</v>
      </c>
      <c r="N3234" s="2101" t="s">
        <v>6110</v>
      </c>
      <c r="O3234" s="2101" t="s">
        <v>6111</v>
      </c>
      <c r="P3234" s="2637"/>
      <c r="Q3234" s="2255"/>
      <c r="R3234" s="2255"/>
      <c r="S3234" s="2255"/>
    </row>
    <row r="3235" spans="1:19" s="2094" customFormat="1"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outlineLevel="1">
      <c r="A3236" s="2171" t="str">
        <f t="shared" ref="A3236:A3246" si="685">IF(G3236&lt;&gt;0,1,"")</f>
        <v/>
      </c>
      <c r="B3236" s="2241" t="str">
        <f>IF($F$8=15,"tr1600","tr16001")</f>
        <v>tr16001</v>
      </c>
      <c r="C3236" s="2257">
        <f>IF(G3236&gt;0,1,0)</f>
        <v>0</v>
      </c>
      <c r="D3236" s="2141" t="s">
        <v>5590</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outlineLevel="1">
      <c r="A3237" s="2171" t="str">
        <f t="shared" si="685"/>
        <v/>
      </c>
      <c r="B3237" s="2346" t="s">
        <v>393</v>
      </c>
      <c r="C3237" s="2257">
        <f>IF(G3237&gt;0,C3236+1,C3236)</f>
        <v>0</v>
      </c>
      <c r="D3237" s="2141" t="s">
        <v>5596</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6277</v>
      </c>
      <c r="Q3238" s="2255"/>
      <c r="R3238" s="2255"/>
      <c r="S3238" s="2255"/>
    </row>
    <row r="3239" spans="1:19" s="2094" customFormat="1" outlineLevel="1">
      <c r="A3239" s="2171" t="str">
        <f t="shared" si="685"/>
        <v/>
      </c>
      <c r="B3239" s="2107" t="str">
        <f>"FCO200-"&amp;$F$8</f>
        <v>FCO200-22</v>
      </c>
      <c r="C3239" s="2257">
        <f t="shared" si="690"/>
        <v>0</v>
      </c>
      <c r="D3239" s="2141" t="s">
        <v>5594</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outlineLevel="1">
      <c r="A3241" s="2171" t="str">
        <f t="shared" si="685"/>
        <v/>
      </c>
      <c r="B3241" s="2250" t="str">
        <f>"LA"&amp;$F$6</f>
        <v>LA18</v>
      </c>
      <c r="C3241" s="2257">
        <f t="shared" si="690"/>
        <v>0</v>
      </c>
      <c r="D3241" s="2141" t="s">
        <v>5598</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outlineLevel="1">
      <c r="A3243" s="2171" t="str">
        <f t="shared" si="685"/>
        <v/>
      </c>
      <c r="B3243" s="2346" t="s">
        <v>6286</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outlineLevel="1">
      <c r="A3245" s="2171" t="str">
        <f t="shared" si="685"/>
        <v/>
      </c>
      <c r="B3245" s="2241" t="str">
        <f>IF($F$8=15,"TU15","TU22")</f>
        <v>TU22</v>
      </c>
      <c r="C3245" s="2257">
        <f>IF(G3245&gt;0,C3244+1,C3244)</f>
        <v>0</v>
      </c>
      <c r="D3245" s="2141">
        <v>0</v>
      </c>
      <c r="E3245" s="2183" t="s">
        <v>5607</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outlineLevel="1">
      <c r="A3246" s="2171" t="str">
        <f t="shared" si="685"/>
        <v/>
      </c>
      <c r="B3246" s="2556" t="s">
        <v>1837</v>
      </c>
      <c r="C3246" s="2257">
        <f>IF(G3246&gt;0,C3245+1,C3245)</f>
        <v>0</v>
      </c>
      <c r="D3246" s="2141">
        <v>0</v>
      </c>
      <c r="E3246" s="2183" t="s">
        <v>5705</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outlineLevel="1">
      <c r="A3247" s="2171">
        <f>A3231</f>
        <v>0</v>
      </c>
      <c r="B3247" s="2250"/>
      <c r="C3247" s="2382"/>
      <c r="D3247" s="2383"/>
      <c r="E3247" s="2384"/>
      <c r="F3247" s="2382"/>
      <c r="G3247" s="2625"/>
      <c r="H3247" s="2382"/>
      <c r="I3247" s="2382"/>
      <c r="J3247" s="2106" t="s">
        <v>6113</v>
      </c>
      <c r="K3247" s="2382"/>
      <c r="L3247" s="2384">
        <f>SUM(L3236:L3246)</f>
        <v>0</v>
      </c>
      <c r="M3247" s="2384">
        <f>SUM(M3236:M3246)</f>
        <v>0</v>
      </c>
      <c r="N3247" s="2384">
        <f>SUM(N3236:N3246)</f>
        <v>0</v>
      </c>
      <c r="O3247" s="2384">
        <f>SUM(O3236:O3246)</f>
        <v>0</v>
      </c>
      <c r="P3247" s="2557"/>
      <c r="Q3247" s="2255"/>
      <c r="R3247" s="2255"/>
      <c r="S3247" s="2255"/>
    </row>
    <row r="3248" spans="1:19" s="2094" customFormat="1"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outlineLevel="1">
      <c r="A3249" s="2171" t="str">
        <f t="shared" ref="A3249:A3263" si="691">IF(G3249&lt;&gt;0,1,"")</f>
        <v/>
      </c>
      <c r="B3249" s="2390"/>
      <c r="C3249" s="2391">
        <f>IF(G3249&gt;0,1,0)</f>
        <v>0</v>
      </c>
      <c r="D3249" s="2141"/>
      <c r="E3249" s="2392" t="s">
        <v>6209</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outlineLevel="1">
      <c r="A3252" s="2171" t="str">
        <f t="shared" si="691"/>
        <v/>
      </c>
      <c r="B3252" s="2346" t="s">
        <v>1612</v>
      </c>
      <c r="C3252" s="2396"/>
      <c r="D3252" s="2141" t="s">
        <v>5353</v>
      </c>
      <c r="E3252" s="2397" t="s">
        <v>5354</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outlineLevel="1">
      <c r="A3253" s="2171" t="str">
        <f t="shared" si="691"/>
        <v/>
      </c>
      <c r="B3253" s="2346" t="s">
        <v>2234</v>
      </c>
      <c r="C3253" s="2396"/>
      <c r="D3253" s="2141"/>
      <c r="E3253" s="2397" t="s">
        <v>5320</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outlineLevel="1">
      <c r="A3254" s="2171" t="str">
        <f t="shared" si="691"/>
        <v/>
      </c>
      <c r="B3254" s="2346" t="s">
        <v>21</v>
      </c>
      <c r="C3254" s="2396"/>
      <c r="D3254" s="2141" t="s">
        <v>5321</v>
      </c>
      <c r="E3254" s="2397" t="s">
        <v>5322</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outlineLevel="1">
      <c r="A3255" s="2171" t="str">
        <f t="shared" si="691"/>
        <v/>
      </c>
      <c r="B3255" s="2346"/>
      <c r="C3255" s="2247">
        <f>IF(G3255&gt;0,C3249+1,C3249)</f>
        <v>0</v>
      </c>
      <c r="D3255" s="2141"/>
      <c r="E3255" s="2392" t="s">
        <v>6287</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outlineLevel="1">
      <c r="A3256" s="2171" t="str">
        <f t="shared" si="691"/>
        <v/>
      </c>
      <c r="B3256" s="2346" t="s">
        <v>751</v>
      </c>
      <c r="C3256" s="2396"/>
      <c r="D3256" s="2141">
        <v>0</v>
      </c>
      <c r="E3256" s="2397" t="s">
        <v>5285</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outlineLevel="1">
      <c r="A3259" s="2171" t="str">
        <f t="shared" si="691"/>
        <v/>
      </c>
      <c r="B3259" s="2346" t="s">
        <v>2008</v>
      </c>
      <c r="C3259" s="2396"/>
      <c r="D3259" s="2141"/>
      <c r="E3259" s="2397" t="s">
        <v>5243</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outlineLevel="1">
      <c r="A3261" s="2171" t="str">
        <f t="shared" si="691"/>
        <v/>
      </c>
      <c r="B3261" s="2346" t="s">
        <v>639</v>
      </c>
      <c r="C3261" s="2396"/>
      <c r="D3261" s="2141" t="s">
        <v>1747</v>
      </c>
      <c r="E3261" s="2397" t="s">
        <v>5320</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outlineLevel="1">
      <c r="A3262" s="2171" t="str">
        <f t="shared" si="691"/>
        <v/>
      </c>
      <c r="B3262" s="2558" t="s">
        <v>1835</v>
      </c>
      <c r="C3262" s="2396"/>
      <c r="D3262" s="2141" t="s">
        <v>5467</v>
      </c>
      <c r="E3262" s="2397" t="s">
        <v>5469</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outlineLevel="1">
      <c r="A3263" s="2171" t="str">
        <f t="shared" si="691"/>
        <v/>
      </c>
      <c r="B3263" s="2250"/>
      <c r="C3263" s="2247">
        <f>IF(G3263&gt;0,C3255+1,C3255)</f>
        <v>0</v>
      </c>
      <c r="D3263" s="2248"/>
      <c r="E3263" s="2406" t="s">
        <v>6263</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4.4" outlineLevel="1">
      <c r="A3264" s="2171" t="str">
        <f>A3263</f>
        <v/>
      </c>
      <c r="B3264" s="2250"/>
      <c r="C3264" s="2247"/>
      <c r="D3264" s="2248"/>
      <c r="E3264" s="2256" t="s">
        <v>6125</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outlineLevel="1">
      <c r="A3269" s="2171" t="str">
        <f t="shared" si="696"/>
        <v/>
      </c>
      <c r="B3269" s="2250" t="s">
        <v>2242</v>
      </c>
      <c r="C3269" s="2247"/>
      <c r="D3269" s="2141" t="s">
        <v>730</v>
      </c>
      <c r="E3269" s="2183" t="s">
        <v>2440</v>
      </c>
      <c r="F3269" s="2141" t="s">
        <v>2385</v>
      </c>
      <c r="G3269" s="2258">
        <f>G3263</f>
        <v>0</v>
      </c>
      <c r="H3269" s="2348">
        <v>0</v>
      </c>
      <c r="I3269" s="2348"/>
      <c r="J3269" s="2348" t="s">
        <v>6337</v>
      </c>
      <c r="K3269" s="2348"/>
      <c r="L3269" s="2349">
        <f t="shared" si="692"/>
        <v>0</v>
      </c>
      <c r="M3269" s="2349"/>
      <c r="N3269" s="2348">
        <v>0</v>
      </c>
      <c r="O3269" s="2349"/>
      <c r="P3269" s="2254"/>
      <c r="Q3269" s="2255"/>
      <c r="R3269" s="2255"/>
      <c r="S3269" s="2255"/>
    </row>
    <row r="3270" spans="1:19" s="2094" customFormat="1" outlineLevel="1" collapsed="1">
      <c r="A3270" s="2171" t="str">
        <f t="shared" si="696"/>
        <v/>
      </c>
      <c r="B3270" s="2250"/>
      <c r="C3270" s="2247">
        <f>IF(G3270&gt;0,C3263+1,C3263)</f>
        <v>0</v>
      </c>
      <c r="D3270" s="2248"/>
      <c r="E3270" s="2406" t="s">
        <v>6290</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4.4" outlineLevel="1">
      <c r="A3271" s="2171" t="str">
        <f>A3270</f>
        <v/>
      </c>
      <c r="B3271" s="2250"/>
      <c r="C3271" s="2247"/>
      <c r="D3271" s="2248"/>
      <c r="E3271" s="2256" t="s">
        <v>6125</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outlineLevel="1">
      <c r="A3277" s="2171" t="str">
        <f t="shared" si="697"/>
        <v/>
      </c>
      <c r="B3277" s="2250" t="s">
        <v>516</v>
      </c>
      <c r="C3277" s="2247"/>
      <c r="D3277" s="2141" t="s">
        <v>1457</v>
      </c>
      <c r="E3277" s="2183" t="s">
        <v>5418</v>
      </c>
      <c r="F3277" s="2141" t="s">
        <v>2385</v>
      </c>
      <c r="G3277" s="2258">
        <f>G3270</f>
        <v>0</v>
      </c>
      <c r="H3277" s="2253"/>
      <c r="I3277" s="2253"/>
      <c r="J3277" s="2253" t="s">
        <v>6383</v>
      </c>
      <c r="K3277" s="2253"/>
      <c r="L3277" s="2253">
        <f t="shared" si="692"/>
        <v>0</v>
      </c>
      <c r="M3277" s="2253"/>
      <c r="N3277" s="2253">
        <v>0</v>
      </c>
      <c r="O3277" s="2253"/>
      <c r="P3277" s="2254"/>
      <c r="Q3277" s="2255"/>
      <c r="R3277" s="2255"/>
      <c r="S3277" s="2255"/>
    </row>
    <row r="3278" spans="1:19" s="2094" customFormat="1" outlineLevel="1">
      <c r="A3278" s="2171" t="str">
        <f t="shared" si="697"/>
        <v/>
      </c>
      <c r="B3278" s="2250"/>
      <c r="C3278" s="2247">
        <f>IF(G3278&gt;0,C3270+1,C3270)</f>
        <v>0</v>
      </c>
      <c r="D3278" s="2248"/>
      <c r="E3278" s="2406" t="s">
        <v>6281</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4.4" outlineLevel="1">
      <c r="A3279" s="2171" t="str">
        <f>A3278</f>
        <v/>
      </c>
      <c r="B3279" s="2250"/>
      <c r="C3279" s="2247"/>
      <c r="D3279" s="2248"/>
      <c r="E3279" s="2256" t="s">
        <v>6125</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outlineLevel="1">
      <c r="A3284" s="2171" t="str">
        <f t="shared" si="698"/>
        <v/>
      </c>
      <c r="B3284" s="2250" t="s">
        <v>988</v>
      </c>
      <c r="C3284" s="2247"/>
      <c r="D3284" s="2141">
        <v>0</v>
      </c>
      <c r="E3284" s="2183" t="s">
        <v>5266</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outlineLevel="1">
      <c r="A3285" s="2171" t="str">
        <f t="shared" si="698"/>
        <v/>
      </c>
      <c r="B3285" s="2250" t="s">
        <v>1995</v>
      </c>
      <c r="C3285" s="2247"/>
      <c r="D3285" s="2141" t="s">
        <v>2265</v>
      </c>
      <c r="E3285" s="2183" t="s">
        <v>5375</v>
      </c>
      <c r="F3285" s="2141" t="s">
        <v>2385</v>
      </c>
      <c r="G3285" s="2258">
        <f>G3278</f>
        <v>0</v>
      </c>
      <c r="H3285" s="2253"/>
      <c r="I3285" s="2253"/>
      <c r="J3285" s="2253" t="s">
        <v>6336</v>
      </c>
      <c r="K3285" s="2253"/>
      <c r="L3285" s="2253">
        <f t="shared" si="692"/>
        <v>0</v>
      </c>
      <c r="M3285" s="2253"/>
      <c r="N3285" s="2253">
        <v>0</v>
      </c>
      <c r="O3285" s="2253"/>
      <c r="P3285" s="2254"/>
      <c r="Q3285" s="2255"/>
      <c r="R3285" s="2255"/>
      <c r="S3285" s="2255"/>
    </row>
    <row r="3286" spans="1:19" s="2094" customFormat="1" outlineLevel="1">
      <c r="A3286" s="2171" t="str">
        <f t="shared" si="698"/>
        <v/>
      </c>
      <c r="B3286" s="2250"/>
      <c r="C3286" s="2247">
        <f>IF(G3286&gt;0,C3278+1,C3278)</f>
        <v>0</v>
      </c>
      <c r="D3286" s="2248"/>
      <c r="E3286" s="2406" t="s">
        <v>4375</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4.4" outlineLevel="1">
      <c r="A3287" s="2171" t="str">
        <f>A3286</f>
        <v/>
      </c>
      <c r="B3287" s="2407"/>
      <c r="C3287" s="2247"/>
      <c r="D3287" s="2248"/>
      <c r="E3287" s="2256" t="s">
        <v>6282</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outlineLevel="1">
      <c r="A3289" s="2171" t="str">
        <f t="shared" si="700"/>
        <v/>
      </c>
      <c r="B3289" s="2241" t="s">
        <v>1508</v>
      </c>
      <c r="C3289" s="2247"/>
      <c r="D3289" s="2141">
        <v>0</v>
      </c>
      <c r="E3289" s="2183" t="s">
        <v>5159</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outlineLevel="1">
      <c r="A3290" s="2171" t="str">
        <f t="shared" si="700"/>
        <v/>
      </c>
      <c r="B3290" s="2241" t="s">
        <v>1585</v>
      </c>
      <c r="C3290" s="2247"/>
      <c r="D3290" s="2141">
        <v>0</v>
      </c>
      <c r="E3290" s="2183" t="s">
        <v>5709</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outlineLevel="1">
      <c r="A3293" s="2171" t="str">
        <f t="shared" si="700"/>
        <v/>
      </c>
      <c r="B3293" s="2241" t="s">
        <v>525</v>
      </c>
      <c r="C3293" s="2247"/>
      <c r="D3293" s="2141">
        <v>0</v>
      </c>
      <c r="E3293" s="2183" t="s">
        <v>5248</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outlineLevel="1">
      <c r="A3295" s="2171">
        <f>IF(G3295=0,0,1)</f>
        <v>0</v>
      </c>
      <c r="B3295" s="2241" t="s">
        <v>794</v>
      </c>
      <c r="C3295" s="2257"/>
      <c r="D3295" s="2141" t="s">
        <v>5332</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outlineLevel="1">
      <c r="A3296" s="2171">
        <f>IF(G3296=0,0,1)</f>
        <v>0</v>
      </c>
      <c r="B3296" s="2241" t="s">
        <v>798</v>
      </c>
      <c r="C3296" s="2257"/>
      <c r="D3296" s="2141" t="s">
        <v>5321</v>
      </c>
      <c r="E3296" s="2183" t="s">
        <v>5333</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outlineLevel="1">
      <c r="A3297" s="2171">
        <f>IF(G3297=0,0,1)</f>
        <v>0</v>
      </c>
      <c r="B3297" s="2241" t="s">
        <v>902</v>
      </c>
      <c r="C3297" s="2257"/>
      <c r="D3297" s="2141" t="s">
        <v>5347</v>
      </c>
      <c r="E3297" s="2183" t="s">
        <v>5348</v>
      </c>
      <c r="F3297" s="2490" t="s">
        <v>856</v>
      </c>
      <c r="G3297" s="2378">
        <f>G3289+G3290</f>
        <v>0</v>
      </c>
      <c r="H3297" s="2253">
        <v>0</v>
      </c>
      <c r="I3297" s="2253"/>
      <c r="J3297" s="2253" t="s">
        <v>6304</v>
      </c>
      <c r="K3297" s="2253">
        <v>0</v>
      </c>
      <c r="L3297" s="2253">
        <f>H3297*$G3297</f>
        <v>0</v>
      </c>
      <c r="M3297" s="2253">
        <f>I3297*$G3297</f>
        <v>0</v>
      </c>
      <c r="N3297" s="2253">
        <v>0</v>
      </c>
      <c r="O3297" s="2253">
        <f>K3297*$G3297</f>
        <v>0</v>
      </c>
      <c r="P3297" s="2254"/>
      <c r="Q3297" s="2255"/>
      <c r="R3297" s="2255"/>
      <c r="S3297" s="2255"/>
    </row>
    <row r="3298" spans="1:19" s="2094" customFormat="1" outlineLevel="1">
      <c r="A3298" s="2171" t="str">
        <f>IF(G3298&lt;&gt;0,1,"")</f>
        <v/>
      </c>
      <c r="B3298" s="2241" t="s">
        <v>1437</v>
      </c>
      <c r="C3298" s="2247"/>
      <c r="D3298" s="2141" t="s">
        <v>5342</v>
      </c>
      <c r="E3298" s="2183" t="s">
        <v>5343</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outlineLevel="1">
      <c r="A3299" s="2171" t="str">
        <f>IF(G3299&lt;&gt;0,1,"")</f>
        <v/>
      </c>
      <c r="B3299" s="2250"/>
      <c r="C3299" s="2247">
        <f>IF(G3299&gt;0,C3286+1,C3286)</f>
        <v>0</v>
      </c>
      <c r="D3299" s="2248"/>
      <c r="E3299" s="2365" t="s">
        <v>6283</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4.4" outlineLevel="1">
      <c r="A3300" s="2171" t="str">
        <f>A3299</f>
        <v/>
      </c>
      <c r="B3300" s="2250"/>
      <c r="C3300" s="2247"/>
      <c r="D3300" s="2248"/>
      <c r="E3300" s="2256" t="s">
        <v>6125</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outlineLevel="1">
      <c r="A3301" s="2171" t="str">
        <f>IF(G3301&lt;&gt;0,1,"")</f>
        <v/>
      </c>
      <c r="B3301" s="2250" t="s">
        <v>6289</v>
      </c>
      <c r="C3301" s="2257"/>
      <c r="D3301" s="2141" t="s">
        <v>5629</v>
      </c>
      <c r="E3301" s="2183" t="s">
        <v>5635</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outlineLevel="1">
      <c r="A3302" s="2171" t="str">
        <f>IF(G3302&lt;&gt;0,1,"")</f>
        <v/>
      </c>
      <c r="B3302" s="2250" t="s">
        <v>289</v>
      </c>
      <c r="C3302" s="2257"/>
      <c r="D3302" s="2141">
        <v>0</v>
      </c>
      <c r="E3302" s="2183" t="s">
        <v>5708</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4.4" outlineLevel="1">
      <c r="A3304" s="2171" t="str">
        <f>A3303</f>
        <v/>
      </c>
      <c r="B3304" s="2250"/>
      <c r="C3304" s="2247"/>
      <c r="D3304" s="2248"/>
      <c r="E3304" s="2256" t="s">
        <v>6125</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outlineLevel="1">
      <c r="A3305" s="2171" t="str">
        <f t="shared" ref="A3305:A3313" si="706">IF(G3305&lt;&gt;0,1,"")</f>
        <v/>
      </c>
      <c r="B3305" s="2543" t="s">
        <v>752</v>
      </c>
      <c r="C3305" s="2257"/>
      <c r="D3305" s="2141">
        <v>0</v>
      </c>
      <c r="E3305" s="2348" t="s">
        <v>6384</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outlineLevel="1">
      <c r="A3306" s="2171" t="str">
        <f t="shared" si="706"/>
        <v/>
      </c>
      <c r="B3306" s="2543" t="s">
        <v>867</v>
      </c>
      <c r="C3306" s="2257"/>
      <c r="D3306" s="2141">
        <v>0</v>
      </c>
      <c r="E3306" s="2348" t="s">
        <v>6385</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outlineLevel="1">
      <c r="A3307" s="2171" t="str">
        <f t="shared" si="706"/>
        <v/>
      </c>
      <c r="B3307" s="2543" t="s">
        <v>1675</v>
      </c>
      <c r="C3307" s="2257"/>
      <c r="D3307" s="2141">
        <v>0</v>
      </c>
      <c r="E3307" s="2348" t="s">
        <v>6369</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outlineLevel="1">
      <c r="A3308" s="2171" t="str">
        <f t="shared" si="706"/>
        <v/>
      </c>
      <c r="B3308" s="2543" t="s">
        <v>1676</v>
      </c>
      <c r="C3308" s="2257"/>
      <c r="D3308" s="2141" t="s">
        <v>5286</v>
      </c>
      <c r="E3308" s="2348" t="s">
        <v>6370</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outlineLevel="1">
      <c r="A3310" s="2171" t="str">
        <f t="shared" si="706"/>
        <v/>
      </c>
      <c r="B3310" s="2543" t="s">
        <v>1678</v>
      </c>
      <c r="C3310" s="2257"/>
      <c r="D3310" s="2141" t="s">
        <v>5329</v>
      </c>
      <c r="E3310" s="2348" t="s">
        <v>6371</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outlineLevel="1">
      <c r="A3311" s="2171" t="str">
        <f t="shared" si="706"/>
        <v/>
      </c>
      <c r="B3311" s="2543" t="s">
        <v>144</v>
      </c>
      <c r="C3311" s="2257"/>
      <c r="D3311" s="2141" t="s">
        <v>5323</v>
      </c>
      <c r="E3311" s="2348" t="s">
        <v>6372</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outlineLevel="1">
      <c r="A3312" s="2171" t="str">
        <f t="shared" si="706"/>
        <v/>
      </c>
      <c r="B3312" s="2543" t="s">
        <v>529</v>
      </c>
      <c r="C3312" s="2257"/>
      <c r="D3312" s="2141" t="s">
        <v>5328</v>
      </c>
      <c r="E3312" s="2348" t="s">
        <v>6386</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4.4" outlineLevel="1">
      <c r="A3314" s="2171" t="str">
        <f>A3313</f>
        <v/>
      </c>
      <c r="B3314" s="2250"/>
      <c r="C3314" s="2247"/>
      <c r="D3314" s="2248"/>
      <c r="E3314" s="2256" t="s">
        <v>6125</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outlineLevel="1">
      <c r="A3315" s="2171" t="str">
        <f t="shared" ref="A3315:A3322" si="707">IF(G3315&lt;&gt;0,1,"")</f>
        <v/>
      </c>
      <c r="B3315" s="2250" t="s">
        <v>623</v>
      </c>
      <c r="C3315" s="2257"/>
      <c r="D3315" s="2141" t="s">
        <v>5301</v>
      </c>
      <c r="E3315" s="2183" t="s">
        <v>5302</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outlineLevel="1">
      <c r="A3320" s="2171" t="str">
        <f t="shared" si="707"/>
        <v/>
      </c>
      <c r="B3320" s="2250" t="s">
        <v>1410</v>
      </c>
      <c r="C3320" s="2247"/>
      <c r="D3320" s="2141" t="s">
        <v>5337</v>
      </c>
      <c r="E3320" s="2183" t="s">
        <v>5338</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outlineLevel="1">
      <c r="A3321" s="2171" t="str">
        <f t="shared" si="707"/>
        <v/>
      </c>
      <c r="B3321" s="2250" t="s">
        <v>289</v>
      </c>
      <c r="C3321" s="2257"/>
      <c r="D3321" s="2141">
        <v>0</v>
      </c>
      <c r="E3321" s="2183" t="s">
        <v>5708</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4.4" outlineLevel="1">
      <c r="A3323" s="2171" t="str">
        <f>A3322</f>
        <v/>
      </c>
      <c r="B3323" s="2250"/>
      <c r="C3323" s="2247"/>
      <c r="D3323" s="2248"/>
      <c r="E3323" s="2263" t="s">
        <v>6125</v>
      </c>
      <c r="F3323" s="2247"/>
      <c r="G3323" s="2252"/>
      <c r="H3323" s="2253"/>
      <c r="I3323" s="2253"/>
      <c r="J3323" s="2253"/>
      <c r="K3323" s="2253"/>
      <c r="L3323" s="2253"/>
      <c r="M3323" s="2253"/>
      <c r="N3323" s="2253"/>
      <c r="O3323" s="2253"/>
      <c r="P3323" s="2254"/>
      <c r="Q3323" s="2255"/>
      <c r="R3323" s="2255"/>
      <c r="S3323" s="2255"/>
    </row>
    <row r="3324" spans="1:19" s="2094" customFormat="1" outlineLevel="1">
      <c r="A3324" s="2171" t="str">
        <f>IF(G3324&lt;&gt;0,1,"")</f>
        <v/>
      </c>
      <c r="B3324" s="2241" t="s">
        <v>470</v>
      </c>
      <c r="C3324" s="2257"/>
      <c r="D3324" s="2141">
        <v>0</v>
      </c>
      <c r="E3324" s="2183" t="s">
        <v>6387</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outlineLevel="1">
      <c r="A3325" s="2171" t="str">
        <f t="shared" ref="A3325:A3334" si="708">IF(G3325&lt;&gt;0,1,"")</f>
        <v/>
      </c>
      <c r="B3325" s="2241" t="s">
        <v>271</v>
      </c>
      <c r="C3325" s="2257"/>
      <c r="D3325" s="2141">
        <v>0</v>
      </c>
      <c r="E3325" s="2183" t="s">
        <v>6388</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outlineLevel="1">
      <c r="A3327" s="2171" t="str">
        <f t="shared" si="708"/>
        <v/>
      </c>
      <c r="B3327" s="2241" t="s">
        <v>470</v>
      </c>
      <c r="C3327" s="2257"/>
      <c r="D3327" s="2141">
        <v>0</v>
      </c>
      <c r="E3327" s="2183" t="s">
        <v>6377</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outlineLevel="1">
      <c r="A3328" s="2171" t="str">
        <f t="shared" si="708"/>
        <v/>
      </c>
      <c r="B3328" s="2241" t="s">
        <v>271</v>
      </c>
      <c r="C3328" s="2257"/>
      <c r="D3328" s="2141">
        <v>0</v>
      </c>
      <c r="E3328" s="2183" t="s">
        <v>6378</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outlineLevel="1">
      <c r="A3330" s="2171" t="str">
        <f t="shared" si="708"/>
        <v/>
      </c>
      <c r="B3330" s="2241" t="s">
        <v>1674</v>
      </c>
      <c r="C3330" s="2257"/>
      <c r="D3330" s="2141" t="s">
        <v>5455</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outlineLevel="1">
      <c r="A3331" s="2171" t="str">
        <f t="shared" si="708"/>
        <v/>
      </c>
      <c r="B3331" s="2241" t="s">
        <v>1182</v>
      </c>
      <c r="C3331" s="2257"/>
      <c r="D3331" s="2141" t="s">
        <v>5548</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outlineLevel="1">
      <c r="A3332" s="2171" t="str">
        <f t="shared" si="708"/>
        <v/>
      </c>
      <c r="B3332" s="2241" t="s">
        <v>1525</v>
      </c>
      <c r="C3332" s="2257"/>
      <c r="D3332" s="2141" t="s">
        <v>5567</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4.4" outlineLevel="1">
      <c r="A3335" s="2171" t="str">
        <f>A3334</f>
        <v/>
      </c>
      <c r="B3335" s="2250"/>
      <c r="C3335" s="2247"/>
      <c r="D3335" s="2248"/>
      <c r="E3335" s="2263" t="s">
        <v>6125</v>
      </c>
      <c r="F3335" s="2247"/>
      <c r="G3335" s="2252"/>
      <c r="H3335" s="2253"/>
      <c r="I3335" s="2253"/>
      <c r="J3335" s="2253"/>
      <c r="K3335" s="2253"/>
      <c r="L3335" s="2253"/>
      <c r="M3335" s="2253"/>
      <c r="N3335" s="2253"/>
      <c r="O3335" s="2253"/>
      <c r="P3335" s="2254"/>
      <c r="Q3335" s="2255"/>
      <c r="R3335" s="2255"/>
      <c r="S3335" s="2255"/>
    </row>
    <row r="3336" spans="1:19" s="2094" customFormat="1" outlineLevel="1">
      <c r="A3336" s="2171" t="str">
        <f t="shared" ref="A3336:A3342" si="713">IF(G3336&lt;&gt;0,1,"")</f>
        <v/>
      </c>
      <c r="B3336" s="2241" t="s">
        <v>697</v>
      </c>
      <c r="C3336" s="2257"/>
      <c r="D3336" s="2141">
        <v>0</v>
      </c>
      <c r="E3336" s="2183" t="s">
        <v>5083</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outlineLevel="1">
      <c r="A3340" s="2171" t="str">
        <f t="shared" si="713"/>
        <v/>
      </c>
      <c r="B3340" s="2346" t="s">
        <v>1477</v>
      </c>
      <c r="C3340" s="2257"/>
      <c r="D3340" s="2141">
        <v>0</v>
      </c>
      <c r="E3340" s="2183" t="s">
        <v>6338</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outlineLevel="1">
      <c r="A3343" s="2171" t="str">
        <f>IF(G3343&lt;&gt;0,1,"")</f>
        <v/>
      </c>
      <c r="B3343" s="2241" t="s">
        <v>347</v>
      </c>
      <c r="C3343" s="2257"/>
      <c r="D3343" s="2141" t="s">
        <v>5556</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outlineLevel="1">
      <c r="A3344" s="2171" t="str">
        <f>IF(G3344&lt;&gt;0,1,"")</f>
        <v/>
      </c>
      <c r="B3344" s="2241"/>
      <c r="C3344" s="2247">
        <f>IF(G3344&gt;0,C3334+1,C3334)</f>
        <v>0</v>
      </c>
      <c r="D3344" s="2248"/>
      <c r="E3344" s="2249" t="s">
        <v>6285</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4.4" outlineLevel="1">
      <c r="A3345" s="2171" t="str">
        <f>A3344</f>
        <v/>
      </c>
      <c r="B3345" s="2241"/>
      <c r="C3345" s="2247"/>
      <c r="D3345" s="2248"/>
      <c r="E3345" s="2263" t="s">
        <v>6125</v>
      </c>
      <c r="F3345" s="2247"/>
      <c r="G3345" s="2258"/>
      <c r="H3345" s="2253"/>
      <c r="I3345" s="2253"/>
      <c r="J3345" s="2253"/>
      <c r="K3345" s="2253"/>
      <c r="L3345" s="2253"/>
      <c r="M3345" s="2253"/>
      <c r="N3345" s="2253"/>
      <c r="O3345" s="2253"/>
      <c r="P3345" s="2254"/>
      <c r="Q3345" s="2255"/>
      <c r="R3345" s="2255"/>
      <c r="S3345" s="2255"/>
    </row>
    <row r="3346" spans="1:19" s="2094" customFormat="1"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outlineLevel="1">
      <c r="A3347" s="2171" t="str">
        <f t="shared" si="717"/>
        <v/>
      </c>
      <c r="B3347" s="2250" t="s">
        <v>448</v>
      </c>
      <c r="C3347" s="2257"/>
      <c r="D3347" s="2141" t="s">
        <v>5728</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outlineLevel="1">
      <c r="A3350" s="2171" t="str">
        <f t="shared" si="717"/>
        <v/>
      </c>
      <c r="B3350" s="2241" t="s">
        <v>731</v>
      </c>
      <c r="C3350" s="2257"/>
      <c r="D3350" s="2141">
        <v>0</v>
      </c>
      <c r="E3350" s="2183" t="s">
        <v>5254</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outlineLevel="1">
      <c r="A3351" s="2171" t="str">
        <f t="shared" si="717"/>
        <v/>
      </c>
      <c r="B3351" s="2250" t="s">
        <v>1043</v>
      </c>
      <c r="C3351" s="2257"/>
      <c r="D3351" s="2141">
        <v>0</v>
      </c>
      <c r="E3351" s="2183" t="s">
        <v>5794</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outlineLevel="1">
      <c r="A3355" s="2171" t="str">
        <f>IF(G3355&lt;&gt;0,1,"")</f>
        <v/>
      </c>
      <c r="B3355" s="2241" t="s">
        <v>6</v>
      </c>
      <c r="C3355" s="2257"/>
      <c r="D3355" s="2141"/>
      <c r="E3355" s="2183" t="s">
        <v>3566</v>
      </c>
      <c r="F3355" s="2141" t="s">
        <v>5802</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outlineLevel="1">
      <c r="A3357" s="2171" t="str">
        <f>IF(G3357&lt;&gt;0,1,"")</f>
        <v/>
      </c>
      <c r="B3357" s="2241" t="s">
        <v>672</v>
      </c>
      <c r="C3357" s="2257"/>
      <c r="D3357" s="2141">
        <v>0</v>
      </c>
      <c r="E3357" s="2183" t="s">
        <v>5797</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outlineLevel="1">
      <c r="A3358" s="2171" t="str">
        <f>IF(G3358&lt;&gt;0,1,"")</f>
        <v/>
      </c>
      <c r="B3358" s="2241" t="s">
        <v>247</v>
      </c>
      <c r="C3358" s="2560"/>
      <c r="D3358" s="2141" t="s">
        <v>5569</v>
      </c>
      <c r="E3358" s="2183" t="s">
        <v>5570</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outlineLevel="1">
      <c r="A3359" s="2171" t="str">
        <f>IF(G3359&lt;&gt;0,1,"")</f>
        <v/>
      </c>
      <c r="B3359" s="2241"/>
      <c r="C3359" s="2247">
        <f>IF(G3359&gt;0,C3344+1,C3344)</f>
        <v>0</v>
      </c>
      <c r="D3359" s="2248"/>
      <c r="E3359" s="2249" t="s">
        <v>6245</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4.4" outlineLevel="1">
      <c r="A3360" s="2171" t="str">
        <f>A3359</f>
        <v/>
      </c>
      <c r="B3360" s="2489"/>
      <c r="C3360" s="2247"/>
      <c r="D3360" s="2248"/>
      <c r="E3360" s="2263" t="s">
        <v>6125</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outlineLevel="1">
      <c r="A3362" s="2171">
        <f>IF(G3362=0,0,1)</f>
        <v>0</v>
      </c>
      <c r="B3362" s="2241" t="s">
        <v>6246</v>
      </c>
      <c r="C3362" s="2257"/>
      <c r="D3362" s="2141">
        <v>0</v>
      </c>
      <c r="E3362" s="2348" t="s">
        <v>5049</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outlineLevel="1">
      <c r="A3363" s="2171">
        <f>IF(G3363=0,0,1)</f>
        <v>0</v>
      </c>
      <c r="B3363" s="2241" t="s">
        <v>6247</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outlineLevel="1">
      <c r="A3364" s="2171">
        <f t="shared" ref="A3364:A3381" si="723">IF(G3364=0,0,1)</f>
        <v>0</v>
      </c>
      <c r="B3364" s="2250" t="s">
        <v>246</v>
      </c>
      <c r="C3364" s="2378"/>
      <c r="D3364" s="2141">
        <v>0</v>
      </c>
      <c r="E3364" s="2348" t="s">
        <v>5865</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outlineLevel="1">
      <c r="A3373" s="2171">
        <f t="shared" si="723"/>
        <v>0</v>
      </c>
      <c r="B3373" s="2241" t="s">
        <v>672</v>
      </c>
      <c r="C3373" s="2257"/>
      <c r="D3373" s="2141">
        <v>0</v>
      </c>
      <c r="E3373" s="2348" t="s">
        <v>5797</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outlineLevel="1">
      <c r="A3376" s="2171">
        <f t="shared" si="723"/>
        <v>0</v>
      </c>
      <c r="B3376" s="2241" t="s">
        <v>319</v>
      </c>
      <c r="C3376" s="2257"/>
      <c r="D3376" s="2141">
        <v>0</v>
      </c>
      <c r="E3376" s="2348" t="s">
        <v>5265</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outlineLevel="1">
      <c r="A3377" s="2171">
        <f t="shared" si="723"/>
        <v>0</v>
      </c>
      <c r="B3377" s="2241" t="s">
        <v>1915</v>
      </c>
      <c r="C3377" s="2257"/>
      <c r="D3377" s="2141" t="s">
        <v>5651</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outlineLevel="1">
      <c r="A3378" s="2171">
        <f t="shared" si="723"/>
        <v>0</v>
      </c>
      <c r="B3378" s="2241" t="s">
        <v>6</v>
      </c>
      <c r="C3378" s="2257"/>
      <c r="D3378" s="2141">
        <v>0</v>
      </c>
      <c r="E3378" s="2348" t="s">
        <v>3566</v>
      </c>
      <c r="F3378" s="2490" t="s">
        <v>5802</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outlineLevel="1">
      <c r="A3380" s="2171">
        <f t="shared" si="723"/>
        <v>0</v>
      </c>
      <c r="B3380" s="2241" t="s">
        <v>1035</v>
      </c>
      <c r="C3380" s="2257"/>
      <c r="D3380" s="2141">
        <v>0</v>
      </c>
      <c r="E3380" s="2348" t="s">
        <v>6381</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outlineLevel="1">
      <c r="A3381" s="2171">
        <f t="shared" si="723"/>
        <v>0</v>
      </c>
      <c r="B3381" s="2241" t="s">
        <v>6247</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outlineLevel="1">
      <c r="A3382" s="2171">
        <f>A3231</f>
        <v>0</v>
      </c>
      <c r="B3382" s="2346"/>
      <c r="C3382" s="2561"/>
      <c r="D3382" s="2413"/>
      <c r="E3382" s="2388"/>
      <c r="F3382" s="2626"/>
      <c r="G3382" s="2627"/>
      <c r="H3382" s="2626"/>
      <c r="I3382" s="2626"/>
      <c r="J3382" s="2636" t="s">
        <v>6123</v>
      </c>
      <c r="K3382" s="2636"/>
      <c r="L3382" s="2414">
        <f>SUM(L3250:L3381)</f>
        <v>0</v>
      </c>
      <c r="M3382" s="2414">
        <f>SUM(M3250:M3381)</f>
        <v>0</v>
      </c>
      <c r="N3382" s="2414">
        <f>SUM(N3250:N3381)</f>
        <v>0</v>
      </c>
      <c r="O3382" s="2414">
        <f>SUM(O3250:O3381)</f>
        <v>0</v>
      </c>
      <c r="P3382" s="2557"/>
      <c r="Q3382" s="2255"/>
      <c r="R3382" s="2255"/>
      <c r="S3382" s="2255"/>
    </row>
    <row r="3383" spans="1:19" s="2094" customFormat="1"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5"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outlineLevel="1">
      <c r="A3386" s="2171">
        <f>A3384</f>
        <v>0</v>
      </c>
      <c r="B3386" s="2250" t="s">
        <v>6104</v>
      </c>
      <c r="C3386" s="2637" t="s">
        <v>1708</v>
      </c>
      <c r="D3386" s="2638" t="s">
        <v>2597</v>
      </c>
      <c r="E3386" s="2640" t="s">
        <v>2598</v>
      </c>
      <c r="F3386" s="2637" t="s">
        <v>2593</v>
      </c>
      <c r="G3386" s="2098" t="s">
        <v>6105</v>
      </c>
      <c r="H3386" s="2101" t="s">
        <v>6106</v>
      </c>
      <c r="I3386" s="2608"/>
      <c r="J3386" s="2608"/>
      <c r="K3386" s="2609"/>
      <c r="L3386" s="2101" t="s">
        <v>6107</v>
      </c>
      <c r="M3386" s="2608"/>
      <c r="N3386" s="2608"/>
      <c r="O3386" s="2609"/>
      <c r="P3386" s="2637" t="s">
        <v>2599</v>
      </c>
      <c r="Q3386" s="2255"/>
      <c r="R3386" s="2255"/>
      <c r="S3386" s="2255"/>
    </row>
    <row r="3387" spans="1:19" s="2094" customFormat="1" outlineLevel="1">
      <c r="A3387" s="2171">
        <f>A3386</f>
        <v>0</v>
      </c>
      <c r="B3387" s="2250"/>
      <c r="C3387" s="2637"/>
      <c r="D3387" s="2639"/>
      <c r="E3387" s="2641"/>
      <c r="F3387" s="2637"/>
      <c r="G3387" s="2100" t="s">
        <v>2286</v>
      </c>
      <c r="H3387" s="2101" t="s">
        <v>6108</v>
      </c>
      <c r="I3387" s="2101" t="s">
        <v>6109</v>
      </c>
      <c r="J3387" s="2101" t="s">
        <v>6110</v>
      </c>
      <c r="K3387" s="2101" t="s">
        <v>6111</v>
      </c>
      <c r="L3387" s="2101" t="s">
        <v>6108</v>
      </c>
      <c r="M3387" s="2101" t="s">
        <v>6109</v>
      </c>
      <c r="N3387" s="2101" t="s">
        <v>6110</v>
      </c>
      <c r="O3387" s="2101" t="s">
        <v>6111</v>
      </c>
      <c r="P3387" s="2637"/>
      <c r="Q3387" s="2255"/>
      <c r="R3387" s="2255"/>
      <c r="S3387" s="2255"/>
    </row>
    <row r="3388" spans="1:19" s="2094" customFormat="1"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outlineLevel="1">
      <c r="A3389" s="2171" t="str">
        <f t="shared" ref="A3389:A3399" si="724">IF(G3389&lt;&gt;0,1,"")</f>
        <v/>
      </c>
      <c r="B3389" s="2241" t="str">
        <f>IF($F$8=15,"tr2000","tr20001")</f>
        <v>tr20001</v>
      </c>
      <c r="C3389" s="2257">
        <f>IF(G3389&gt;0,1,0)</f>
        <v>0</v>
      </c>
      <c r="D3389" s="2141" t="s">
        <v>5590</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outlineLevel="1">
      <c r="A3390" s="2171" t="str">
        <f t="shared" si="724"/>
        <v/>
      </c>
      <c r="B3390" s="2346" t="s">
        <v>393</v>
      </c>
      <c r="C3390" s="2257">
        <f t="shared" ref="C3390:C3396" si="729">IF(G3390&gt;0,C3389+1,C3389)</f>
        <v>0</v>
      </c>
      <c r="D3390" s="2141" t="s">
        <v>5596</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6277</v>
      </c>
      <c r="Q3391" s="2255"/>
      <c r="R3391" s="2255"/>
      <c r="S3391" s="2255"/>
    </row>
    <row r="3392" spans="1:19" s="2094" customFormat="1" outlineLevel="1">
      <c r="A3392" s="2171" t="str">
        <f t="shared" si="724"/>
        <v/>
      </c>
      <c r="B3392" s="2107" t="str">
        <f>"FCO200-"&amp;$F$8</f>
        <v>FCO200-22</v>
      </c>
      <c r="C3392" s="2257">
        <f t="shared" si="729"/>
        <v>0</v>
      </c>
      <c r="D3392" s="2141" t="s">
        <v>5594</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outlineLevel="1">
      <c r="A3394" s="2171" t="str">
        <f t="shared" si="724"/>
        <v/>
      </c>
      <c r="B3394" s="2250" t="str">
        <f>"LA"&amp;$F$6</f>
        <v>LA18</v>
      </c>
      <c r="C3394" s="2257">
        <f t="shared" si="729"/>
        <v>0</v>
      </c>
      <c r="D3394" s="2141" t="s">
        <v>5598</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outlineLevel="1">
      <c r="A3396" s="2171" t="str">
        <f t="shared" si="724"/>
        <v/>
      </c>
      <c r="B3396" s="2346" t="s">
        <v>6291</v>
      </c>
      <c r="C3396" s="2257">
        <f t="shared" si="729"/>
        <v>0</v>
      </c>
      <c r="D3396" s="2141" t="s">
        <v>1025</v>
      </c>
      <c r="E3396" s="2183" t="s">
        <v>5612</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outlineLevel="1">
      <c r="A3398" s="2171" t="str">
        <f t="shared" si="724"/>
        <v/>
      </c>
      <c r="B3398" s="2241" t="s">
        <v>2187</v>
      </c>
      <c r="C3398" s="2257">
        <f>IF(G3398&gt;0,C3396+1,C3396)</f>
        <v>0</v>
      </c>
      <c r="D3398" s="2141">
        <v>0</v>
      </c>
      <c r="E3398" s="2183" t="s">
        <v>5607</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outlineLevel="1">
      <c r="A3399" s="2171" t="str">
        <f t="shared" si="724"/>
        <v/>
      </c>
      <c r="B3399" s="2556" t="s">
        <v>1837</v>
      </c>
      <c r="C3399" s="2257">
        <f>IF(G3399&gt;0,C3397+1,C3397)</f>
        <v>0</v>
      </c>
      <c r="D3399" s="2141">
        <v>0</v>
      </c>
      <c r="E3399" s="2183" t="s">
        <v>5705</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outlineLevel="1">
      <c r="A3400" s="2171">
        <f>A3384</f>
        <v>0</v>
      </c>
      <c r="B3400" s="2250"/>
      <c r="C3400" s="2382"/>
      <c r="D3400" s="2383"/>
      <c r="E3400" s="2384"/>
      <c r="F3400" s="2382"/>
      <c r="G3400" s="2625"/>
      <c r="H3400" s="2382"/>
      <c r="I3400" s="2382"/>
      <c r="J3400" s="2106" t="s">
        <v>6113</v>
      </c>
      <c r="K3400" s="2382"/>
      <c r="L3400" s="2384">
        <f>SUM(L3389:L3399)</f>
        <v>0</v>
      </c>
      <c r="M3400" s="2384">
        <f>SUM(M3389:M3399)</f>
        <v>0</v>
      </c>
      <c r="N3400" s="2384">
        <f>SUM(N3389:N3399)</f>
        <v>0</v>
      </c>
      <c r="O3400" s="2384">
        <f>SUM(O3389:O3399)</f>
        <v>0</v>
      </c>
      <c r="P3400" s="2557"/>
      <c r="Q3400" s="2255"/>
      <c r="R3400" s="2255"/>
      <c r="S3400" s="2255"/>
    </row>
    <row r="3401" spans="1:19" s="2094" customFormat="1"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outlineLevel="1">
      <c r="A3402" s="2171" t="str">
        <f t="shared" ref="A3402:A3413" si="730">IF(G3402&lt;&gt;0,1,"")</f>
        <v/>
      </c>
      <c r="B3402" s="2390"/>
      <c r="C3402" s="2391">
        <f>IF(G3402&gt;0,1,0)</f>
        <v>0</v>
      </c>
      <c r="D3402" s="2141"/>
      <c r="E3402" s="2392" t="s">
        <v>6209</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outlineLevel="1">
      <c r="A3405" s="2171" t="str">
        <f t="shared" si="730"/>
        <v/>
      </c>
      <c r="B3405" s="2346" t="s">
        <v>1612</v>
      </c>
      <c r="C3405" s="2396"/>
      <c r="D3405" s="2141" t="s">
        <v>5353</v>
      </c>
      <c r="E3405" s="2397" t="s">
        <v>5354</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outlineLevel="1">
      <c r="A3406" s="2171" t="str">
        <f t="shared" si="730"/>
        <v/>
      </c>
      <c r="B3406" s="2346" t="s">
        <v>2234</v>
      </c>
      <c r="C3406" s="2396"/>
      <c r="D3406" s="2141"/>
      <c r="E3406" s="2397" t="s">
        <v>5320</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outlineLevel="1">
      <c r="A3407" s="2171" t="str">
        <f t="shared" si="730"/>
        <v/>
      </c>
      <c r="B3407" s="2346" t="s">
        <v>21</v>
      </c>
      <c r="C3407" s="2396"/>
      <c r="D3407" s="2141" t="s">
        <v>5321</v>
      </c>
      <c r="E3407" s="2397" t="s">
        <v>5322</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outlineLevel="1">
      <c r="A3409" s="2171" t="str">
        <f t="shared" si="730"/>
        <v/>
      </c>
      <c r="B3409" s="2346" t="s">
        <v>636</v>
      </c>
      <c r="C3409" s="2396"/>
      <c r="D3409" s="2141" t="s">
        <v>5043</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outlineLevel="1">
      <c r="A3410" s="2171" t="str">
        <f t="shared" si="730"/>
        <v/>
      </c>
      <c r="B3410" s="2346" t="s">
        <v>566</v>
      </c>
      <c r="C3410" s="2396"/>
      <c r="D3410" s="2141"/>
      <c r="E3410" s="2397" t="s">
        <v>5068</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outlineLevel="1">
      <c r="A3411" s="2171" t="str">
        <f t="shared" si="730"/>
        <v/>
      </c>
      <c r="B3411" s="2346" t="s">
        <v>639</v>
      </c>
      <c r="C3411" s="2396"/>
      <c r="D3411" s="2141" t="s">
        <v>1747</v>
      </c>
      <c r="E3411" s="2397" t="s">
        <v>5320</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outlineLevel="1">
      <c r="A3412" s="2171" t="str">
        <f t="shared" si="730"/>
        <v/>
      </c>
      <c r="B3412" s="2346" t="s">
        <v>21</v>
      </c>
      <c r="C3412" s="2396"/>
      <c r="D3412" s="2141" t="s">
        <v>5321</v>
      </c>
      <c r="E3412" s="2397" t="s">
        <v>5322</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4.4" outlineLevel="1">
      <c r="A3414" s="2171" t="str">
        <f>A3413</f>
        <v/>
      </c>
      <c r="B3414" s="2250"/>
      <c r="C3414" s="2247"/>
      <c r="D3414" s="2403"/>
      <c r="E3414" s="2256" t="s">
        <v>6125</v>
      </c>
      <c r="F3414" s="2257"/>
      <c r="G3414" s="2258"/>
      <c r="H3414" s="2404"/>
      <c r="I3414" s="2404"/>
      <c r="J3414" s="2404"/>
      <c r="K3414" s="2404"/>
      <c r="L3414" s="2404"/>
      <c r="M3414" s="2404"/>
      <c r="N3414" s="2404"/>
      <c r="O3414" s="2404"/>
      <c r="P3414" s="2254"/>
      <c r="Q3414" s="2255"/>
      <c r="R3414" s="2255"/>
      <c r="S3414" s="2255"/>
    </row>
    <row r="3415" spans="1:19" s="2094" customFormat="1" outlineLevel="1">
      <c r="A3415" s="2171" t="str">
        <f t="shared" ref="A3415:A3421" si="731">IF(G3415&lt;&gt;0,1,"")</f>
        <v/>
      </c>
      <c r="B3415" s="2241" t="s">
        <v>1136</v>
      </c>
      <c r="C3415" s="2247"/>
      <c r="D3415" s="2141">
        <v>0</v>
      </c>
      <c r="E3415" s="2183" t="s">
        <v>4455</v>
      </c>
      <c r="F3415" s="2141" t="s">
        <v>2248</v>
      </c>
      <c r="G3415" s="2258">
        <f>2*G3413</f>
        <v>0</v>
      </c>
      <c r="H3415" s="2348">
        <v>31625</v>
      </c>
      <c r="I3415" s="2405"/>
      <c r="J3415" s="2348" t="s">
        <v>6395</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outlineLevel="1">
      <c r="A3416" s="2171" t="str">
        <f t="shared" si="731"/>
        <v/>
      </c>
      <c r="B3416" s="2241" t="s">
        <v>1137</v>
      </c>
      <c r="C3416" s="2247"/>
      <c r="D3416" s="2141">
        <v>0</v>
      </c>
      <c r="E3416" s="2183" t="s">
        <v>5834</v>
      </c>
      <c r="F3416" s="2141" t="s">
        <v>2248</v>
      </c>
      <c r="G3416" s="2258">
        <f>G3413*4</f>
        <v>0</v>
      </c>
      <c r="H3416" s="2348">
        <v>31625</v>
      </c>
      <c r="I3416" s="2405"/>
      <c r="J3416" s="2348" t="s">
        <v>6396</v>
      </c>
      <c r="K3416" s="2348">
        <v>0</v>
      </c>
      <c r="L3416" s="2349">
        <f t="shared" si="732"/>
        <v>0</v>
      </c>
      <c r="M3416" s="2349">
        <f t="shared" si="733"/>
        <v>0</v>
      </c>
      <c r="N3416" s="2348">
        <v>0</v>
      </c>
      <c r="O3416" s="2349">
        <f t="shared" si="734"/>
        <v>0</v>
      </c>
      <c r="P3416" s="2254"/>
      <c r="Q3416" s="2255"/>
      <c r="R3416" s="2255"/>
      <c r="S3416" s="2255"/>
    </row>
    <row r="3417" spans="1:19" s="2094" customFormat="1" outlineLevel="1">
      <c r="A3417" s="2171" t="str">
        <f t="shared" si="731"/>
        <v/>
      </c>
      <c r="B3417" s="2241" t="s">
        <v>1138</v>
      </c>
      <c r="C3417" s="2247"/>
      <c r="D3417" s="2141">
        <v>0</v>
      </c>
      <c r="E3417" s="2183" t="s">
        <v>5833</v>
      </c>
      <c r="F3417" s="2141" t="s">
        <v>2248</v>
      </c>
      <c r="G3417" s="2258">
        <f>G3413*2</f>
        <v>0</v>
      </c>
      <c r="H3417" s="2348">
        <v>31625</v>
      </c>
      <c r="I3417" s="2405"/>
      <c r="J3417" s="2348" t="s">
        <v>6396</v>
      </c>
      <c r="K3417" s="2348">
        <v>0</v>
      </c>
      <c r="L3417" s="2349">
        <f t="shared" si="732"/>
        <v>0</v>
      </c>
      <c r="M3417" s="2349">
        <f t="shared" si="733"/>
        <v>0</v>
      </c>
      <c r="N3417" s="2348">
        <v>0</v>
      </c>
      <c r="O3417" s="2349">
        <f t="shared" si="734"/>
        <v>0</v>
      </c>
      <c r="P3417" s="2254"/>
      <c r="Q3417" s="2255"/>
      <c r="R3417" s="2255"/>
      <c r="S3417" s="2255"/>
    </row>
    <row r="3418" spans="1:19" s="2094" customFormat="1"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outlineLevel="1">
      <c r="A3421" s="2171" t="str">
        <f t="shared" si="731"/>
        <v/>
      </c>
      <c r="B3421" s="2250"/>
      <c r="C3421" s="2247">
        <f>IF(G3421&gt;0,C3413+1,C3413)</f>
        <v>0</v>
      </c>
      <c r="D3421" s="2248"/>
      <c r="E3421" s="2406" t="s">
        <v>6263</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4.4" outlineLevel="1">
      <c r="A3422" s="2171" t="str">
        <f>A3421</f>
        <v/>
      </c>
      <c r="B3422" s="2250"/>
      <c r="C3422" s="2247"/>
      <c r="D3422" s="2248"/>
      <c r="E3422" s="2256" t="s">
        <v>6125</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outlineLevel="1">
      <c r="A3427" s="2171" t="str">
        <f t="shared" si="736"/>
        <v/>
      </c>
      <c r="B3427" s="2250" t="s">
        <v>2242</v>
      </c>
      <c r="C3427" s="2247"/>
      <c r="D3427" s="2141" t="s">
        <v>730</v>
      </c>
      <c r="E3427" s="2183" t="s">
        <v>2440</v>
      </c>
      <c r="F3427" s="2141" t="s">
        <v>2385</v>
      </c>
      <c r="G3427" s="2258">
        <f>G3421</f>
        <v>0</v>
      </c>
      <c r="H3427" s="2348">
        <v>0</v>
      </c>
      <c r="I3427" s="2348"/>
      <c r="J3427" s="2348" t="s">
        <v>6337</v>
      </c>
      <c r="K3427" s="2348"/>
      <c r="L3427" s="2349">
        <f t="shared" si="732"/>
        <v>0</v>
      </c>
      <c r="M3427" s="2349"/>
      <c r="N3427" s="2348">
        <v>0</v>
      </c>
      <c r="O3427" s="2349"/>
      <c r="P3427" s="2254"/>
      <c r="Q3427" s="2255"/>
      <c r="R3427" s="2255"/>
      <c r="S3427" s="2255"/>
    </row>
    <row r="3428" spans="1:19" s="2094" customFormat="1" outlineLevel="1">
      <c r="A3428" s="2171" t="str">
        <f t="shared" si="736"/>
        <v/>
      </c>
      <c r="B3428" s="2250"/>
      <c r="C3428" s="2247">
        <f>IF(G3428&gt;0,C3421+1,C3421)</f>
        <v>0</v>
      </c>
      <c r="D3428" s="2248"/>
      <c r="E3428" s="2406" t="s">
        <v>6292</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4.4" outlineLevel="1">
      <c r="A3429" s="2171" t="str">
        <f>A3428</f>
        <v/>
      </c>
      <c r="B3429" s="2250"/>
      <c r="C3429" s="2247"/>
      <c r="D3429" s="2248"/>
      <c r="E3429" s="2256" t="s">
        <v>6125</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outlineLevel="1">
      <c r="A3433" s="2171" t="str">
        <f t="shared" si="737"/>
        <v/>
      </c>
      <c r="B3433" s="2241" t="s">
        <v>2271</v>
      </c>
      <c r="C3433" s="2247"/>
      <c r="D3433" s="2141">
        <v>0</v>
      </c>
      <c r="E3433" s="2183" t="s">
        <v>5074</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outlineLevel="1">
      <c r="A3434" s="2171" t="str">
        <f t="shared" si="737"/>
        <v/>
      </c>
      <c r="B3434" s="2250" t="s">
        <v>2242</v>
      </c>
      <c r="C3434" s="2247"/>
      <c r="D3434" s="2141" t="s">
        <v>730</v>
      </c>
      <c r="E3434" s="2183" t="s">
        <v>2440</v>
      </c>
      <c r="F3434" s="2141" t="s">
        <v>2385</v>
      </c>
      <c r="G3434" s="2258">
        <f>G3428</f>
        <v>0</v>
      </c>
      <c r="H3434" s="2348">
        <v>0</v>
      </c>
      <c r="I3434" s="2348"/>
      <c r="J3434" s="2348" t="s">
        <v>6337</v>
      </c>
      <c r="K3434" s="2348"/>
      <c r="L3434" s="2349">
        <f t="shared" ref="L3434:L3461" si="738">H3434*G3434</f>
        <v>0</v>
      </c>
      <c r="M3434" s="2349"/>
      <c r="N3434" s="2348">
        <v>0</v>
      </c>
      <c r="O3434" s="2349"/>
      <c r="P3434" s="2254"/>
      <c r="Q3434" s="2255"/>
      <c r="R3434" s="2255"/>
      <c r="S3434" s="2255"/>
    </row>
    <row r="3435" spans="1:19" s="2094" customFormat="1" outlineLevel="1">
      <c r="A3435" s="2171" t="str">
        <f t="shared" si="737"/>
        <v/>
      </c>
      <c r="B3435" s="2250"/>
      <c r="C3435" s="2247">
        <f>IF(G3435&gt;0,C3428+1,C3428)</f>
        <v>0</v>
      </c>
      <c r="D3435" s="2248"/>
      <c r="E3435" s="2406" t="s">
        <v>6213</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4.4" outlineLevel="1">
      <c r="A3436" s="2171" t="str">
        <f>A3435</f>
        <v/>
      </c>
      <c r="B3436" s="2250"/>
      <c r="C3436" s="2247"/>
      <c r="D3436" s="2248"/>
      <c r="E3436" s="2256" t="s">
        <v>6125</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outlineLevel="1">
      <c r="A3439" s="2171" t="str">
        <f t="shared" si="739"/>
        <v/>
      </c>
      <c r="B3439" s="2250" t="s">
        <v>2242</v>
      </c>
      <c r="C3439" s="2247"/>
      <c r="D3439" s="2141" t="s">
        <v>730</v>
      </c>
      <c r="E3439" s="2183" t="s">
        <v>2440</v>
      </c>
      <c r="F3439" s="2141" t="s">
        <v>2385</v>
      </c>
      <c r="G3439" s="2258">
        <f>G3435</f>
        <v>0</v>
      </c>
      <c r="H3439" s="2348">
        <v>0</v>
      </c>
      <c r="I3439" s="2348"/>
      <c r="J3439" s="2348" t="s">
        <v>6337</v>
      </c>
      <c r="K3439" s="2348"/>
      <c r="L3439" s="2349">
        <f t="shared" si="738"/>
        <v>0</v>
      </c>
      <c r="M3439" s="2349"/>
      <c r="N3439" s="2348">
        <v>0</v>
      </c>
      <c r="O3439" s="2349"/>
      <c r="P3439" s="2254"/>
      <c r="Q3439" s="2255"/>
      <c r="R3439" s="2255"/>
      <c r="S3439" s="2255"/>
    </row>
    <row r="3440" spans="1:19" s="2094" customFormat="1"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outlineLevel="1" collapsed="1">
      <c r="A3442" s="2171" t="str">
        <f t="shared" si="739"/>
        <v/>
      </c>
      <c r="B3442" s="2250"/>
      <c r="C3442" s="2247">
        <f>IF(G3442&gt;0,C3435+1,C3435)</f>
        <v>0</v>
      </c>
      <c r="D3442" s="2248"/>
      <c r="E3442" s="2406" t="s">
        <v>6290</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4.4" outlineLevel="1">
      <c r="A3443" s="2171" t="str">
        <f>A3442</f>
        <v/>
      </c>
      <c r="B3443" s="2250"/>
      <c r="C3443" s="2247"/>
      <c r="D3443" s="2248"/>
      <c r="E3443" s="2256" t="s">
        <v>6125</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outlineLevel="1">
      <c r="A3445" s="2171" t="str">
        <f t="shared" si="740"/>
        <v/>
      </c>
      <c r="B3445" s="2250" t="s">
        <v>1035</v>
      </c>
      <c r="C3445" s="2247"/>
      <c r="D3445" s="2141" t="s">
        <v>554</v>
      </c>
      <c r="E3445" s="2183" t="s">
        <v>6397</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outlineLevel="1">
      <c r="A3449" s="2171" t="str">
        <f t="shared" si="740"/>
        <v/>
      </c>
      <c r="B3449" s="2250" t="s">
        <v>517</v>
      </c>
      <c r="C3449" s="2247"/>
      <c r="D3449" s="2141" t="s">
        <v>1457</v>
      </c>
      <c r="E3449" s="2183" t="s">
        <v>3173</v>
      </c>
      <c r="F3449" s="2141" t="s">
        <v>2385</v>
      </c>
      <c r="G3449" s="2258">
        <f>G3442</f>
        <v>0</v>
      </c>
      <c r="H3449" s="2253"/>
      <c r="I3449" s="2253"/>
      <c r="J3449" s="2253" t="s">
        <v>6383</v>
      </c>
      <c r="K3449" s="2253"/>
      <c r="L3449" s="2253">
        <f t="shared" si="738"/>
        <v>0</v>
      </c>
      <c r="M3449" s="2253"/>
      <c r="N3449" s="2253">
        <v>0</v>
      </c>
      <c r="O3449" s="2253"/>
      <c r="P3449" s="2254"/>
      <c r="Q3449" s="2255"/>
      <c r="R3449" s="2255"/>
      <c r="S3449" s="2255"/>
    </row>
    <row r="3450" spans="1:19" s="2094" customFormat="1" outlineLevel="1">
      <c r="A3450" s="2171" t="str">
        <f t="shared" si="740"/>
        <v/>
      </c>
      <c r="B3450" s="2250"/>
      <c r="C3450" s="2247">
        <f>IF(G3450&gt;0,C3442+1,C3442)</f>
        <v>0</v>
      </c>
      <c r="D3450" s="2248"/>
      <c r="E3450" s="2406" t="s">
        <v>6281</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4.4" outlineLevel="1">
      <c r="A3451" s="2171" t="str">
        <f>A3450</f>
        <v/>
      </c>
      <c r="B3451" s="2250"/>
      <c r="C3451" s="2247"/>
      <c r="D3451" s="2248"/>
      <c r="E3451" s="2256" t="s">
        <v>6125</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outlineLevel="1">
      <c r="A3453" s="2171" t="str">
        <f t="shared" si="741"/>
        <v/>
      </c>
      <c r="B3453" s="2250" t="s">
        <v>1035</v>
      </c>
      <c r="C3453" s="2247"/>
      <c r="D3453" s="2141">
        <v>0</v>
      </c>
      <c r="E3453" s="2183" t="s">
        <v>6397</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outlineLevel="1">
      <c r="A3456" s="2171" t="str">
        <f t="shared" si="741"/>
        <v/>
      </c>
      <c r="B3456" s="2250" t="s">
        <v>988</v>
      </c>
      <c r="C3456" s="2247"/>
      <c r="D3456" s="2141">
        <v>0</v>
      </c>
      <c r="E3456" s="2183" t="s">
        <v>5266</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outlineLevel="1">
      <c r="A3457" s="2171" t="str">
        <f t="shared" si="741"/>
        <v/>
      </c>
      <c r="B3457" s="2250" t="s">
        <v>1998</v>
      </c>
      <c r="C3457" s="2247"/>
      <c r="D3457" s="2141" t="s">
        <v>2265</v>
      </c>
      <c r="E3457" s="2183" t="s">
        <v>5425</v>
      </c>
      <c r="F3457" s="2141" t="s">
        <v>2385</v>
      </c>
      <c r="G3457" s="2258">
        <f>G3450</f>
        <v>0</v>
      </c>
      <c r="H3457" s="2253"/>
      <c r="I3457" s="2253"/>
      <c r="J3457" s="2253" t="s">
        <v>6321</v>
      </c>
      <c r="K3457" s="2253"/>
      <c r="L3457" s="2253">
        <f t="shared" si="738"/>
        <v>0</v>
      </c>
      <c r="M3457" s="2253"/>
      <c r="N3457" s="2253">
        <v>0</v>
      </c>
      <c r="O3457" s="2253"/>
      <c r="P3457" s="2254"/>
      <c r="Q3457" s="2255"/>
      <c r="R3457" s="2255"/>
      <c r="S3457" s="2255"/>
    </row>
    <row r="3458" spans="1:19" s="2094" customFormat="1" outlineLevel="1">
      <c r="A3458" s="2171" t="str">
        <f t="shared" si="741"/>
        <v/>
      </c>
      <c r="B3458" s="2250"/>
      <c r="C3458" s="2247">
        <f>IF(G3458&gt;0,C3450+1,C3450)</f>
        <v>0</v>
      </c>
      <c r="D3458" s="2248"/>
      <c r="E3458" s="2406" t="s">
        <v>4375</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4.4" outlineLevel="1">
      <c r="A3459" s="2171"/>
      <c r="B3459" s="2407"/>
      <c r="C3459" s="2247"/>
      <c r="D3459" s="2248"/>
      <c r="E3459" s="2256" t="s">
        <v>6282</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outlineLevel="1">
      <c r="A3461" s="2171" t="str">
        <f t="shared" si="743"/>
        <v/>
      </c>
      <c r="B3461" s="2241" t="s">
        <v>1508</v>
      </c>
      <c r="C3461" s="2247"/>
      <c r="D3461" s="2141">
        <v>0</v>
      </c>
      <c r="E3461" s="2183" t="s">
        <v>5159</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outlineLevel="1">
      <c r="A3462" s="2171" t="str">
        <f t="shared" si="743"/>
        <v/>
      </c>
      <c r="B3462" s="2241" t="s">
        <v>1585</v>
      </c>
      <c r="C3462" s="2247"/>
      <c r="D3462" s="2141">
        <v>0</v>
      </c>
      <c r="E3462" s="2183" t="s">
        <v>5709</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outlineLevel="1">
      <c r="A3465" s="2171" t="str">
        <f t="shared" si="743"/>
        <v/>
      </c>
      <c r="B3465" s="2241" t="s">
        <v>525</v>
      </c>
      <c r="C3465" s="2247"/>
      <c r="D3465" s="2141">
        <v>0</v>
      </c>
      <c r="E3465" s="2183" t="s">
        <v>5248</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outlineLevel="1">
      <c r="A3467" s="2171">
        <f>IF(G3467=0,0,1)</f>
        <v>0</v>
      </c>
      <c r="B3467" s="2241" t="s">
        <v>794</v>
      </c>
      <c r="C3467" s="2257"/>
      <c r="D3467" s="2141" t="s">
        <v>5332</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outlineLevel="1">
      <c r="A3468" s="2171">
        <f>IF(G3468=0,0,1)</f>
        <v>0</v>
      </c>
      <c r="B3468" s="2241" t="s">
        <v>798</v>
      </c>
      <c r="C3468" s="2257"/>
      <c r="D3468" s="2141" t="s">
        <v>5321</v>
      </c>
      <c r="E3468" s="2183" t="s">
        <v>5333</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outlineLevel="1">
      <c r="A3469" s="2171">
        <f>IF(G3469=0,0,1)</f>
        <v>0</v>
      </c>
      <c r="B3469" s="2241" t="s">
        <v>902</v>
      </c>
      <c r="C3469" s="2257"/>
      <c r="D3469" s="2141" t="s">
        <v>5347</v>
      </c>
      <c r="E3469" s="2183" t="s">
        <v>5348</v>
      </c>
      <c r="F3469" s="2490" t="s">
        <v>856</v>
      </c>
      <c r="G3469" s="2378">
        <f>G3461+G3462</f>
        <v>0</v>
      </c>
      <c r="H3469" s="2253">
        <v>0</v>
      </c>
      <c r="I3469" s="2253"/>
      <c r="J3469" s="2253" t="s">
        <v>6304</v>
      </c>
      <c r="K3469" s="2253">
        <v>0</v>
      </c>
      <c r="L3469" s="2253">
        <f>H3469*$G3469</f>
        <v>0</v>
      </c>
      <c r="M3469" s="2253">
        <f>I3469*$G3469</f>
        <v>0</v>
      </c>
      <c r="N3469" s="2253">
        <v>0</v>
      </c>
      <c r="O3469" s="2253">
        <f>K3469*$G3469</f>
        <v>0</v>
      </c>
      <c r="P3469" s="2254"/>
      <c r="Q3469" s="2255"/>
      <c r="R3469" s="2255"/>
      <c r="S3469" s="2255"/>
    </row>
    <row r="3470" spans="1:19" s="2094" customFormat="1" outlineLevel="1">
      <c r="A3470" s="2171" t="str">
        <f>IF(G3470&lt;&gt;0,1,"")</f>
        <v/>
      </c>
      <c r="B3470" s="2241" t="s">
        <v>1437</v>
      </c>
      <c r="C3470" s="2247"/>
      <c r="D3470" s="2141" t="s">
        <v>5342</v>
      </c>
      <c r="E3470" s="2183" t="s">
        <v>5343</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outlineLevel="1">
      <c r="A3471" s="2171" t="str">
        <f>IF(G3471&lt;&gt;0,1,"")</f>
        <v/>
      </c>
      <c r="B3471" s="2250"/>
      <c r="C3471" s="2247">
        <f>IF(G3471&gt;0,C3458+1,C3458)</f>
        <v>0</v>
      </c>
      <c r="D3471" s="2248"/>
      <c r="E3471" s="2365" t="s">
        <v>6293</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4.4" outlineLevel="1">
      <c r="A3472" s="2171" t="str">
        <f>A3471</f>
        <v/>
      </c>
      <c r="B3472" s="2250"/>
      <c r="C3472" s="2247"/>
      <c r="D3472" s="2248"/>
      <c r="E3472" s="2256" t="s">
        <v>6125</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outlineLevel="1">
      <c r="A3473" s="2171" t="str">
        <f>IF(G3473&lt;&gt;0,1,"")</f>
        <v/>
      </c>
      <c r="B3473" s="2250" t="s">
        <v>6294</v>
      </c>
      <c r="C3473" s="2257"/>
      <c r="D3473" s="2141" t="s">
        <v>5629</v>
      </c>
      <c r="E3473" s="2183" t="s">
        <v>5636</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outlineLevel="1">
      <c r="A3474" s="2171" t="str">
        <f>IF(G3474&lt;&gt;0,1,"")</f>
        <v/>
      </c>
      <c r="B3474" s="2250" t="s">
        <v>289</v>
      </c>
      <c r="C3474" s="2257"/>
      <c r="D3474" s="2141">
        <v>0</v>
      </c>
      <c r="E3474" s="2183" t="s">
        <v>5708</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4.4" outlineLevel="1">
      <c r="A3476" s="2171" t="str">
        <f>A3475</f>
        <v/>
      </c>
      <c r="B3476" s="2250"/>
      <c r="C3476" s="2247"/>
      <c r="D3476" s="2248"/>
      <c r="E3476" s="2256" t="s">
        <v>6125</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outlineLevel="1">
      <c r="A3477" s="2171" t="str">
        <f t="shared" ref="A3477:A3485" si="749">IF(G3477&lt;&gt;0,1,"")</f>
        <v/>
      </c>
      <c r="B3477" s="2543" t="s">
        <v>752</v>
      </c>
      <c r="C3477" s="2257"/>
      <c r="D3477" s="2141">
        <v>0</v>
      </c>
      <c r="E3477" s="2348" t="s">
        <v>6384</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outlineLevel="1">
      <c r="A3478" s="2171" t="str">
        <f t="shared" si="749"/>
        <v/>
      </c>
      <c r="B3478" s="2543" t="s">
        <v>867</v>
      </c>
      <c r="C3478" s="2257"/>
      <c r="D3478" s="2141">
        <v>0</v>
      </c>
      <c r="E3478" s="2348" t="s">
        <v>6385</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outlineLevel="1">
      <c r="A3479" s="2171" t="str">
        <f t="shared" si="749"/>
        <v/>
      </c>
      <c r="B3479" s="2543" t="s">
        <v>1675</v>
      </c>
      <c r="C3479" s="2257"/>
      <c r="D3479" s="2141">
        <v>0</v>
      </c>
      <c r="E3479" s="2348" t="s">
        <v>6369</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outlineLevel="1">
      <c r="A3480" s="2171" t="str">
        <f t="shared" si="749"/>
        <v/>
      </c>
      <c r="B3480" s="2543" t="s">
        <v>1676</v>
      </c>
      <c r="C3480" s="2257"/>
      <c r="D3480" s="2141" t="s">
        <v>5286</v>
      </c>
      <c r="E3480" s="2348" t="s">
        <v>6370</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outlineLevel="1">
      <c r="A3482" s="2171" t="str">
        <f t="shared" si="749"/>
        <v/>
      </c>
      <c r="B3482" s="2543" t="s">
        <v>1678</v>
      </c>
      <c r="C3482" s="2257"/>
      <c r="D3482" s="2141" t="s">
        <v>5329</v>
      </c>
      <c r="E3482" s="2348" t="s">
        <v>6371</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outlineLevel="1">
      <c r="A3483" s="2171" t="str">
        <f t="shared" si="749"/>
        <v/>
      </c>
      <c r="B3483" s="2543" t="s">
        <v>144</v>
      </c>
      <c r="C3483" s="2257"/>
      <c r="D3483" s="2141" t="s">
        <v>5323</v>
      </c>
      <c r="E3483" s="2348" t="s">
        <v>6372</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outlineLevel="1">
      <c r="A3484" s="2171" t="str">
        <f t="shared" si="749"/>
        <v/>
      </c>
      <c r="B3484" s="2543" t="s">
        <v>529</v>
      </c>
      <c r="C3484" s="2257"/>
      <c r="D3484" s="2141" t="s">
        <v>5328</v>
      </c>
      <c r="E3484" s="2348" t="s">
        <v>6386</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4.4" outlineLevel="1">
      <c r="A3486" s="2171" t="str">
        <f>A3485</f>
        <v/>
      </c>
      <c r="B3486" s="2250"/>
      <c r="C3486" s="2247"/>
      <c r="D3486" s="2248"/>
      <c r="E3486" s="2256" t="s">
        <v>6125</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outlineLevel="1">
      <c r="A3487" s="2171" t="str">
        <f t="shared" ref="A3487:A3494" si="750">IF(G3487&lt;&gt;0,1,"")</f>
        <v/>
      </c>
      <c r="B3487" s="2250" t="s">
        <v>623</v>
      </c>
      <c r="C3487" s="2257"/>
      <c r="D3487" s="2141" t="s">
        <v>5301</v>
      </c>
      <c r="E3487" s="2183" t="s">
        <v>5302</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outlineLevel="1">
      <c r="A3492" s="2171" t="str">
        <f t="shared" si="750"/>
        <v/>
      </c>
      <c r="B3492" s="2250" t="s">
        <v>1410</v>
      </c>
      <c r="C3492" s="2247"/>
      <c r="D3492" s="2141" t="s">
        <v>5337</v>
      </c>
      <c r="E3492" s="2183" t="s">
        <v>5338</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outlineLevel="1">
      <c r="A3493" s="2171" t="str">
        <f t="shared" si="750"/>
        <v/>
      </c>
      <c r="B3493" s="2250" t="s">
        <v>289</v>
      </c>
      <c r="C3493" s="2257"/>
      <c r="D3493" s="2141">
        <v>0</v>
      </c>
      <c r="E3493" s="2183" t="s">
        <v>5708</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4.4" outlineLevel="1">
      <c r="A3495" s="2171" t="str">
        <f>A3494</f>
        <v/>
      </c>
      <c r="B3495" s="2250"/>
      <c r="C3495" s="2247"/>
      <c r="D3495" s="2248"/>
      <c r="E3495" s="2263" t="s">
        <v>6125</v>
      </c>
      <c r="F3495" s="2247"/>
      <c r="G3495" s="2252"/>
      <c r="H3495" s="2253"/>
      <c r="I3495" s="2253"/>
      <c r="J3495" s="2253"/>
      <c r="K3495" s="2253"/>
      <c r="L3495" s="2253"/>
      <c r="M3495" s="2253"/>
      <c r="N3495" s="2253"/>
      <c r="O3495" s="2253"/>
      <c r="P3495" s="2254"/>
      <c r="Q3495" s="2255"/>
      <c r="R3495" s="2255"/>
      <c r="S3495" s="2255"/>
    </row>
    <row r="3496" spans="1:19" s="2094" customFormat="1" outlineLevel="1">
      <c r="A3496" s="2171" t="str">
        <f>IF(G3496&lt;&gt;0,1,"")</f>
        <v/>
      </c>
      <c r="B3496" s="2241" t="s">
        <v>470</v>
      </c>
      <c r="C3496" s="2257"/>
      <c r="D3496" s="2141">
        <v>0</v>
      </c>
      <c r="E3496" s="2183" t="s">
        <v>6387</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outlineLevel="1">
      <c r="A3497" s="2171" t="str">
        <f t="shared" ref="A3497:A3506" si="751">IF(G3497&lt;&gt;0,1,"")</f>
        <v/>
      </c>
      <c r="B3497" s="2241" t="s">
        <v>271</v>
      </c>
      <c r="C3497" s="2257"/>
      <c r="D3497" s="2141">
        <v>0</v>
      </c>
      <c r="E3497" s="2183" t="s">
        <v>6388</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outlineLevel="1">
      <c r="A3499" s="2171" t="str">
        <f t="shared" si="751"/>
        <v/>
      </c>
      <c r="B3499" s="2241" t="s">
        <v>470</v>
      </c>
      <c r="C3499" s="2257"/>
      <c r="D3499" s="2141">
        <v>0</v>
      </c>
      <c r="E3499" s="2183" t="s">
        <v>6377</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outlineLevel="1">
      <c r="A3500" s="2171" t="str">
        <f t="shared" si="751"/>
        <v/>
      </c>
      <c r="B3500" s="2241" t="s">
        <v>271</v>
      </c>
      <c r="C3500" s="2257"/>
      <c r="D3500" s="2141">
        <v>0</v>
      </c>
      <c r="E3500" s="2183" t="s">
        <v>6378</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outlineLevel="1">
      <c r="A3502" s="2171" t="str">
        <f t="shared" si="751"/>
        <v/>
      </c>
      <c r="B3502" s="2241" t="s">
        <v>1674</v>
      </c>
      <c r="C3502" s="2257"/>
      <c r="D3502" s="2141" t="s">
        <v>5455</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outlineLevel="1">
      <c r="A3503" s="2171" t="str">
        <f t="shared" si="751"/>
        <v/>
      </c>
      <c r="B3503" s="2241" t="s">
        <v>1182</v>
      </c>
      <c r="C3503" s="2257"/>
      <c r="D3503" s="2141" t="s">
        <v>5548</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outlineLevel="1">
      <c r="A3504" s="2171" t="str">
        <f t="shared" si="751"/>
        <v/>
      </c>
      <c r="B3504" s="2241" t="s">
        <v>1525</v>
      </c>
      <c r="C3504" s="2257"/>
      <c r="D3504" s="2141" t="s">
        <v>5567</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4.4" outlineLevel="1">
      <c r="A3507" s="2171" t="str">
        <f>A3506</f>
        <v/>
      </c>
      <c r="B3507" s="2250"/>
      <c r="C3507" s="2247"/>
      <c r="D3507" s="2248"/>
      <c r="E3507" s="2263" t="s">
        <v>6125</v>
      </c>
      <c r="F3507" s="2247"/>
      <c r="G3507" s="2252"/>
      <c r="H3507" s="2253"/>
      <c r="I3507" s="2253"/>
      <c r="J3507" s="2253"/>
      <c r="K3507" s="2253"/>
      <c r="L3507" s="2253"/>
      <c r="M3507" s="2253"/>
      <c r="N3507" s="2253"/>
      <c r="O3507" s="2253"/>
      <c r="P3507" s="2254"/>
      <c r="Q3507" s="2255"/>
      <c r="R3507" s="2255"/>
      <c r="S3507" s="2255"/>
    </row>
    <row r="3508" spans="1:19" s="2094" customFormat="1" outlineLevel="1">
      <c r="A3508" s="2171" t="str">
        <f t="shared" ref="A3508:A3514" si="756">IF(G3508&lt;&gt;0,1,"")</f>
        <v/>
      </c>
      <c r="B3508" s="2241" t="s">
        <v>697</v>
      </c>
      <c r="C3508" s="2257"/>
      <c r="D3508" s="2141">
        <v>0</v>
      </c>
      <c r="E3508" s="2183" t="s">
        <v>5083</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outlineLevel="1">
      <c r="A3512" s="2171" t="str">
        <f t="shared" si="756"/>
        <v/>
      </c>
      <c r="B3512" s="2346" t="s">
        <v>1477</v>
      </c>
      <c r="C3512" s="2257"/>
      <c r="D3512" s="2141">
        <v>0</v>
      </c>
      <c r="E3512" s="2183" t="s">
        <v>6338</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outlineLevel="1">
      <c r="A3515" s="2171" t="str">
        <f>IF(G3515&lt;&gt;0,1,"")</f>
        <v/>
      </c>
      <c r="B3515" s="2241" t="s">
        <v>347</v>
      </c>
      <c r="C3515" s="2257"/>
      <c r="D3515" s="2141" t="s">
        <v>5556</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4.4" outlineLevel="1">
      <c r="A3517" s="2171" t="str">
        <f>A3516</f>
        <v/>
      </c>
      <c r="B3517" s="2250"/>
      <c r="C3517" s="2247"/>
      <c r="D3517" s="2248"/>
      <c r="E3517" s="2263" t="s">
        <v>6125</v>
      </c>
      <c r="F3517" s="2247"/>
      <c r="G3517" s="2252"/>
      <c r="H3517" s="2253"/>
      <c r="I3517" s="2253"/>
      <c r="J3517" s="2253"/>
      <c r="K3517" s="2253"/>
      <c r="L3517" s="2253"/>
      <c r="M3517" s="2253"/>
      <c r="N3517" s="2253"/>
      <c r="O3517" s="2253"/>
      <c r="P3517" s="2254"/>
      <c r="Q3517" s="2255"/>
      <c r="R3517" s="2255"/>
      <c r="S3517" s="2255"/>
    </row>
    <row r="3518" spans="1:19" s="2094" customFormat="1"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outlineLevel="1">
      <c r="A3519" s="2171" t="str">
        <f>IF(G3519&lt;&gt;0,1,"")</f>
        <v/>
      </c>
      <c r="B3519" s="2250" t="s">
        <v>1410</v>
      </c>
      <c r="C3519" s="2257"/>
      <c r="D3519" s="2141" t="s">
        <v>5337</v>
      </c>
      <c r="E3519" s="2183" t="s">
        <v>5338</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4.4" outlineLevel="1">
      <c r="A3521" s="2171" t="str">
        <f>A3520</f>
        <v/>
      </c>
      <c r="B3521" s="2241"/>
      <c r="C3521" s="2247"/>
      <c r="D3521" s="2248"/>
      <c r="E3521" s="2263" t="s">
        <v>6125</v>
      </c>
      <c r="F3521" s="2247"/>
      <c r="G3521" s="2258"/>
      <c r="H3521" s="2253"/>
      <c r="I3521" s="2253"/>
      <c r="J3521" s="2253"/>
      <c r="K3521" s="2253"/>
      <c r="L3521" s="2253"/>
      <c r="M3521" s="2253"/>
      <c r="N3521" s="2253"/>
      <c r="O3521" s="2253"/>
      <c r="P3521" s="2254"/>
      <c r="Q3521" s="2255"/>
      <c r="R3521" s="2255"/>
      <c r="S3521" s="2255"/>
    </row>
    <row r="3522" spans="1:19" s="2094" customFormat="1"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outlineLevel="1">
      <c r="A3523" s="2171" t="str">
        <f t="shared" si="760"/>
        <v/>
      </c>
      <c r="B3523" s="2250" t="s">
        <v>448</v>
      </c>
      <c r="C3523" s="2257"/>
      <c r="D3523" s="2141" t="s">
        <v>5728</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outlineLevel="1">
      <c r="A3526" s="2171" t="str">
        <f t="shared" si="760"/>
        <v/>
      </c>
      <c r="B3526" s="2241" t="s">
        <v>731</v>
      </c>
      <c r="C3526" s="2257"/>
      <c r="D3526" s="2141">
        <v>0</v>
      </c>
      <c r="E3526" s="2183" t="s">
        <v>5254</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outlineLevel="1">
      <c r="A3527" s="2171" t="str">
        <f t="shared" si="760"/>
        <v/>
      </c>
      <c r="B3527" s="2250" t="s">
        <v>1043</v>
      </c>
      <c r="C3527" s="2257"/>
      <c r="D3527" s="2141">
        <v>0</v>
      </c>
      <c r="E3527" s="2183" t="s">
        <v>5794</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outlineLevel="1">
      <c r="A3531" s="2171" t="str">
        <f>IF(G3531&lt;&gt;0,1,"")</f>
        <v/>
      </c>
      <c r="B3531" s="2241" t="s">
        <v>6</v>
      </c>
      <c r="C3531" s="2257"/>
      <c r="D3531" s="2141"/>
      <c r="E3531" s="2183" t="s">
        <v>3566</v>
      </c>
      <c r="F3531" s="2141" t="s">
        <v>5802</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outlineLevel="1">
      <c r="A3533" s="2171" t="str">
        <f>IF(G3533&lt;&gt;0,1,"")</f>
        <v/>
      </c>
      <c r="B3533" s="2241" t="s">
        <v>672</v>
      </c>
      <c r="C3533" s="2257"/>
      <c r="D3533" s="2141">
        <v>0</v>
      </c>
      <c r="E3533" s="2183" t="s">
        <v>5797</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outlineLevel="1">
      <c r="A3534" s="2171" t="str">
        <f>IF(G3534&lt;&gt;0,1,"")</f>
        <v/>
      </c>
      <c r="B3534" s="2241" t="s">
        <v>247</v>
      </c>
      <c r="C3534" s="2560"/>
      <c r="D3534" s="2141" t="s">
        <v>5569</v>
      </c>
      <c r="E3534" s="2183" t="s">
        <v>5570</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outlineLevel="1">
      <c r="A3535" s="2171" t="str">
        <f>IF(G3535&lt;&gt;0,1,"")</f>
        <v/>
      </c>
      <c r="B3535" s="2241"/>
      <c r="C3535" s="2247">
        <f>IF(G3535&gt;0,C3520+1,C3520)</f>
        <v>0</v>
      </c>
      <c r="D3535" s="2248"/>
      <c r="E3535" s="2249" t="s">
        <v>6245</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4.4" outlineLevel="1">
      <c r="A3536" s="2171" t="str">
        <f>A3535</f>
        <v/>
      </c>
      <c r="B3536" s="2489"/>
      <c r="C3536" s="2247"/>
      <c r="D3536" s="2248"/>
      <c r="E3536" s="2263" t="s">
        <v>6125</v>
      </c>
      <c r="F3536" s="2247"/>
      <c r="G3536" s="2252"/>
      <c r="H3536" s="2253"/>
      <c r="I3536" s="2253"/>
      <c r="J3536" s="2253"/>
      <c r="K3536" s="2253"/>
      <c r="L3536" s="2253"/>
      <c r="M3536" s="2253"/>
      <c r="N3536" s="2253"/>
      <c r="O3536" s="2253"/>
      <c r="P3536" s="2254"/>
      <c r="Q3536" s="2422"/>
      <c r="R3536" s="2422"/>
      <c r="S3536" s="2422"/>
    </row>
    <row r="3537" spans="1:19" s="2094" customFormat="1"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outlineLevel="1">
      <c r="A3538" s="2171">
        <f>IF(G3538=0,0,1)</f>
        <v>0</v>
      </c>
      <c r="B3538" s="2241" t="s">
        <v>6246</v>
      </c>
      <c r="C3538" s="2257"/>
      <c r="D3538" s="2141">
        <v>0</v>
      </c>
      <c r="E3538" s="2348" t="s">
        <v>5049</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outlineLevel="1">
      <c r="A3539" s="2171">
        <f>IF(G3539=0,0,1)</f>
        <v>0</v>
      </c>
      <c r="B3539" s="2241" t="s">
        <v>6247</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outlineLevel="1">
      <c r="A3540" s="2171">
        <f t="shared" ref="A3540:A3557" si="766">IF(G3540=0,0,1)</f>
        <v>0</v>
      </c>
      <c r="B3540" s="2250" t="s">
        <v>246</v>
      </c>
      <c r="C3540" s="2378"/>
      <c r="D3540" s="2141">
        <v>0</v>
      </c>
      <c r="E3540" s="2348" t="s">
        <v>5865</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outlineLevel="1">
      <c r="A3549" s="2171">
        <f t="shared" si="766"/>
        <v>0</v>
      </c>
      <c r="B3549" s="2241" t="s">
        <v>672</v>
      </c>
      <c r="C3549" s="2257"/>
      <c r="D3549" s="2141">
        <v>0</v>
      </c>
      <c r="E3549" s="2348" t="s">
        <v>5797</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outlineLevel="1">
      <c r="A3552" s="2171">
        <f t="shared" si="766"/>
        <v>0</v>
      </c>
      <c r="B3552" s="2241" t="s">
        <v>319</v>
      </c>
      <c r="C3552" s="2257"/>
      <c r="D3552" s="2141">
        <v>0</v>
      </c>
      <c r="E3552" s="2348" t="s">
        <v>5265</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outlineLevel="1">
      <c r="A3553" s="2171">
        <f t="shared" si="766"/>
        <v>0</v>
      </c>
      <c r="B3553" s="2241" t="s">
        <v>1915</v>
      </c>
      <c r="C3553" s="2257"/>
      <c r="D3553" s="2141" t="s">
        <v>5651</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outlineLevel="1">
      <c r="A3554" s="2171">
        <f t="shared" si="766"/>
        <v>0</v>
      </c>
      <c r="B3554" s="2241" t="s">
        <v>6</v>
      </c>
      <c r="C3554" s="2257"/>
      <c r="D3554" s="2141">
        <v>0</v>
      </c>
      <c r="E3554" s="2348" t="s">
        <v>3566</v>
      </c>
      <c r="F3554" s="2490" t="s">
        <v>5802</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outlineLevel="1">
      <c r="A3557" s="2171">
        <f t="shared" si="766"/>
        <v>0</v>
      </c>
      <c r="B3557" s="2241" t="s">
        <v>6247</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outlineLevel="1">
      <c r="A3558" s="2171">
        <f>A3384</f>
        <v>0</v>
      </c>
      <c r="B3558" s="2346"/>
      <c r="C3558" s="2561"/>
      <c r="D3558" s="2413"/>
      <c r="E3558" s="2388"/>
      <c r="F3558" s="2626"/>
      <c r="G3558" s="2627"/>
      <c r="H3558" s="2626"/>
      <c r="I3558" s="2626"/>
      <c r="J3558" s="2636" t="s">
        <v>6123</v>
      </c>
      <c r="K3558" s="2636"/>
      <c r="L3558" s="2414">
        <f>SUM(L3403:L3557)</f>
        <v>0</v>
      </c>
      <c r="M3558" s="2414">
        <f>SUM(M3403:M3557)</f>
        <v>0</v>
      </c>
      <c r="N3558" s="2414">
        <f>SUM(N3403:N3557)</f>
        <v>0</v>
      </c>
      <c r="O3558" s="2414">
        <f>SUM(O3403:O3557)</f>
        <v>0</v>
      </c>
      <c r="P3558" s="2557"/>
      <c r="Q3558" s="2255"/>
      <c r="R3558" s="2255"/>
      <c r="S3558" s="2255"/>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565" zoomScaleNormal="100" workbookViewId="0">
      <selection activeCell="F2569" sqref="F2569"/>
    </sheetView>
  </sheetViews>
  <sheetFormatPr defaultColWidth="8.90625" defaultRowHeight="15.6" outlineLevelRow="1"/>
  <cols>
    <col min="1" max="1" width="6.36328125" style="927" customWidth="1"/>
    <col min="2" max="2" width="9.08984375" style="1004" customWidth="1"/>
    <col min="3" max="3" width="7.453125" style="2827" customWidth="1"/>
    <col min="4" max="4" width="5.36328125" style="927" customWidth="1"/>
    <col min="5" max="5" width="8.81640625" style="927" customWidth="1"/>
    <col min="6" max="6" width="44.90625" style="2691" customWidth="1"/>
    <col min="7" max="7" width="7.36328125" style="927" customWidth="1"/>
    <col min="8" max="8" width="9.54296875" style="2692" customWidth="1"/>
    <col min="9" max="9" width="10.1796875" style="1731" customWidth="1"/>
    <col min="10" max="11" width="9" style="927" customWidth="1"/>
    <col min="12" max="12" width="11.08984375" style="2693"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5"/>
      <c r="I1" s="2692"/>
      <c r="L1" s="927"/>
      <c r="M1" s="2693"/>
    </row>
    <row r="2" spans="3:16" hidden="1" outlineLevel="1">
      <c r="C2" s="2825"/>
      <c r="F2" s="2694" t="s">
        <v>4413</v>
      </c>
      <c r="G2" s="2695" t="s">
        <v>4414</v>
      </c>
      <c r="H2" s="1699"/>
      <c r="I2" s="2696">
        <v>9</v>
      </c>
      <c r="J2" s="2697" t="s">
        <v>4407</v>
      </c>
      <c r="K2" s="2695" t="s">
        <v>4415</v>
      </c>
      <c r="L2" s="2695"/>
      <c r="M2" s="2697">
        <v>1</v>
      </c>
      <c r="N2" s="2697" t="s">
        <v>4416</v>
      </c>
      <c r="O2" s="2697">
        <v>1</v>
      </c>
      <c r="P2" s="2697" t="s">
        <v>4417</v>
      </c>
    </row>
    <row r="3" spans="3:16" hidden="1" outlineLevel="1">
      <c r="C3" s="2825"/>
      <c r="F3" s="2698">
        <v>36</v>
      </c>
      <c r="G3" s="2699" t="s">
        <v>4418</v>
      </c>
      <c r="H3" s="1699"/>
      <c r="I3" s="2700">
        <v>54</v>
      </c>
      <c r="J3" s="2697" t="s">
        <v>1823</v>
      </c>
      <c r="K3" s="2695" t="s">
        <v>4419</v>
      </c>
      <c r="L3" s="2695"/>
      <c r="M3" s="2697">
        <v>0</v>
      </c>
      <c r="N3" s="2697" t="s">
        <v>4420</v>
      </c>
      <c r="O3" s="2701"/>
    </row>
    <row r="4" spans="3:16" hidden="1" outlineLevel="1">
      <c r="C4" s="2825"/>
      <c r="F4" s="2698"/>
      <c r="G4" s="2699" t="s">
        <v>4421</v>
      </c>
      <c r="H4" s="1699"/>
      <c r="I4" s="2696">
        <v>3</v>
      </c>
      <c r="J4" s="2697" t="s">
        <v>856</v>
      </c>
      <c r="K4" s="2702" t="s">
        <v>4422</v>
      </c>
      <c r="L4" s="2695"/>
      <c r="M4" s="2697">
        <v>0</v>
      </c>
      <c r="N4" s="2703"/>
      <c r="O4" s="2701"/>
    </row>
    <row r="5" spans="3:16" hidden="1" outlineLevel="1">
      <c r="C5" s="2825"/>
      <c r="F5" s="2698"/>
      <c r="G5" s="2704" t="s">
        <v>4423</v>
      </c>
      <c r="H5" s="2696" t="s">
        <v>4424</v>
      </c>
      <c r="I5" s="2696" t="s">
        <v>4425</v>
      </c>
      <c r="J5" s="2704" t="s">
        <v>4426</v>
      </c>
      <c r="K5" s="2704" t="s">
        <v>4427</v>
      </c>
      <c r="L5" s="2697" t="s">
        <v>4425</v>
      </c>
      <c r="M5" s="2704" t="s">
        <v>4428</v>
      </c>
      <c r="N5" s="2705" t="s">
        <v>4429</v>
      </c>
      <c r="O5" s="2701"/>
    </row>
    <row r="6" spans="3:16" hidden="1" outlineLevel="1">
      <c r="C6" s="2825"/>
      <c r="F6" s="2706"/>
      <c r="G6" s="1216">
        <v>18</v>
      </c>
      <c r="H6" s="1699" t="s">
        <v>2051</v>
      </c>
      <c r="I6" s="1699">
        <v>0</v>
      </c>
      <c r="J6" s="1216">
        <f>I6*15</f>
        <v>0</v>
      </c>
      <c r="K6" s="2707" t="s">
        <v>4430</v>
      </c>
      <c r="L6" s="1216">
        <v>0</v>
      </c>
      <c r="M6" s="2708">
        <f>L6*3*15</f>
        <v>0</v>
      </c>
      <c r="N6" s="3206">
        <f>I17+L17</f>
        <v>0</v>
      </c>
      <c r="O6" s="2701"/>
    </row>
    <row r="7" spans="3:16" hidden="1" outlineLevel="1">
      <c r="C7" s="2825"/>
      <c r="D7" s="2709"/>
      <c r="F7" s="2710"/>
      <c r="G7" s="1216" t="s">
        <v>4431</v>
      </c>
      <c r="H7" s="2711" t="s">
        <v>2052</v>
      </c>
      <c r="I7" s="1699"/>
      <c r="J7" s="1216">
        <f>I7*25</f>
        <v>0</v>
      </c>
      <c r="K7" s="2707" t="s">
        <v>4432</v>
      </c>
      <c r="L7" s="1216">
        <v>0</v>
      </c>
      <c r="M7" s="2708">
        <f>L7*3*25</f>
        <v>0</v>
      </c>
      <c r="N7" s="3207"/>
      <c r="O7" s="2701"/>
      <c r="P7" s="2712"/>
    </row>
    <row r="8" spans="3:16" hidden="1" outlineLevel="1">
      <c r="C8" s="2825"/>
      <c r="E8" s="2713"/>
      <c r="F8" s="2698"/>
      <c r="G8" s="1216">
        <v>22</v>
      </c>
      <c r="H8" s="2711" t="s">
        <v>4433</v>
      </c>
      <c r="I8" s="1699">
        <v>0</v>
      </c>
      <c r="J8" s="1216">
        <f>I8*37.5</f>
        <v>0</v>
      </c>
      <c r="K8" s="2707" t="s">
        <v>4434</v>
      </c>
      <c r="L8" s="1216">
        <v>0</v>
      </c>
      <c r="M8" s="2708">
        <f>L8*3*37.5</f>
        <v>0</v>
      </c>
      <c r="N8" s="2705" t="s">
        <v>4435</v>
      </c>
      <c r="O8" s="2701"/>
    </row>
    <row r="9" spans="3:16" hidden="1" outlineLevel="1">
      <c r="C9" s="2825"/>
      <c r="E9" s="2709"/>
      <c r="F9" s="2698"/>
      <c r="G9" s="2714"/>
      <c r="H9" s="2711" t="s">
        <v>2053</v>
      </c>
      <c r="I9" s="1699"/>
      <c r="J9" s="1216">
        <f>I9*50</f>
        <v>0</v>
      </c>
      <c r="K9" s="2707" t="s">
        <v>4436</v>
      </c>
      <c r="L9" s="1216"/>
      <c r="M9" s="2708">
        <f>L9*3*50</f>
        <v>0</v>
      </c>
      <c r="N9" s="3206">
        <f>J18+M18</f>
        <v>560</v>
      </c>
      <c r="O9" s="2701"/>
    </row>
    <row r="10" spans="3:16" hidden="1" outlineLevel="1">
      <c r="C10" s="2825"/>
      <c r="E10" s="2709"/>
      <c r="F10" s="2698"/>
      <c r="G10" s="2715"/>
      <c r="H10" s="2716" t="s">
        <v>2054</v>
      </c>
      <c r="I10" s="1699"/>
      <c r="J10" s="1216">
        <f>I10*75</f>
        <v>0</v>
      </c>
      <c r="K10" s="2717" t="s">
        <v>4437</v>
      </c>
      <c r="L10" s="1216"/>
      <c r="M10" s="2708">
        <f>L10*160</f>
        <v>0</v>
      </c>
      <c r="N10" s="3208"/>
      <c r="O10" s="2701"/>
    </row>
    <row r="11" spans="3:16" hidden="1" outlineLevel="1">
      <c r="C11" s="2825"/>
      <c r="E11" s="2709"/>
      <c r="F11" s="2698"/>
      <c r="G11" s="2715"/>
      <c r="H11" s="2716" t="s">
        <v>2055</v>
      </c>
      <c r="I11" s="1699"/>
      <c r="J11" s="1216">
        <f>I11*100</f>
        <v>0</v>
      </c>
      <c r="K11" s="2717" t="s">
        <v>4438</v>
      </c>
      <c r="L11" s="1216"/>
      <c r="M11" s="2708">
        <f>L11*250</f>
        <v>0</v>
      </c>
      <c r="N11" s="3208"/>
      <c r="O11" s="2701"/>
    </row>
    <row r="12" spans="3:16" hidden="1" outlineLevel="1">
      <c r="C12" s="2825"/>
      <c r="E12" s="2709"/>
      <c r="F12" s="2698"/>
      <c r="G12" s="2715"/>
      <c r="H12" s="2718"/>
      <c r="I12" s="1699"/>
      <c r="J12" s="2719"/>
      <c r="K12" s="2717" t="s">
        <v>4439</v>
      </c>
      <c r="L12" s="1216"/>
      <c r="M12" s="2708">
        <f>L12*320</f>
        <v>0</v>
      </c>
      <c r="N12" s="3208"/>
      <c r="O12" s="2701"/>
    </row>
    <row r="13" spans="3:16" hidden="1" outlineLevel="1">
      <c r="C13" s="2825"/>
      <c r="E13" s="2709"/>
      <c r="F13" s="2698"/>
      <c r="G13" s="2715"/>
      <c r="H13" s="2718"/>
      <c r="I13" s="1699"/>
      <c r="J13" s="2719"/>
      <c r="K13" s="2717" t="s">
        <v>4440</v>
      </c>
      <c r="L13" s="1216">
        <v>0</v>
      </c>
      <c r="M13" s="2708">
        <f>L13*400</f>
        <v>0</v>
      </c>
      <c r="N13" s="3208"/>
      <c r="O13" s="2701"/>
    </row>
    <row r="14" spans="3:16" hidden="1" outlineLevel="1">
      <c r="C14" s="2825"/>
      <c r="E14" s="2709"/>
      <c r="F14" s="2698"/>
      <c r="G14" s="2715"/>
      <c r="H14" s="2718"/>
      <c r="I14" s="1699"/>
      <c r="J14" s="2719"/>
      <c r="K14" s="2717" t="s">
        <v>4441</v>
      </c>
      <c r="L14" s="1216">
        <v>1</v>
      </c>
      <c r="M14" s="2708">
        <f>L14*560</f>
        <v>560</v>
      </c>
      <c r="N14" s="3208"/>
      <c r="O14" s="2701"/>
    </row>
    <row r="15" spans="3:16" hidden="1" outlineLevel="1">
      <c r="C15" s="2825"/>
      <c r="E15" s="2709"/>
      <c r="F15" s="2698"/>
      <c r="G15" s="2715"/>
      <c r="H15" s="2718"/>
      <c r="I15" s="1699"/>
      <c r="J15" s="2719"/>
      <c r="K15" s="2717" t="s">
        <v>4442</v>
      </c>
      <c r="L15" s="1216">
        <v>0</v>
      </c>
      <c r="M15" s="2708">
        <f>L15*630</f>
        <v>0</v>
      </c>
      <c r="N15" s="3208"/>
      <c r="O15" s="2701"/>
    </row>
    <row r="16" spans="3:16" hidden="1" outlineLevel="1">
      <c r="C16" s="2825"/>
      <c r="E16" s="2709"/>
      <c r="F16" s="2698"/>
      <c r="G16" s="2720"/>
      <c r="H16" s="2716"/>
      <c r="I16" s="1699"/>
      <c r="J16" s="2719"/>
      <c r="K16" s="2721">
        <v>1000</v>
      </c>
      <c r="L16" s="1216">
        <v>0</v>
      </c>
      <c r="M16" s="2708">
        <f>L16*1000</f>
        <v>0</v>
      </c>
      <c r="N16" s="3209"/>
      <c r="O16" s="2701"/>
    </row>
    <row r="17" spans="1:23" hidden="1" outlineLevel="1">
      <c r="C17" s="2825"/>
      <c r="E17" s="927">
        <f>chitiet!G5</f>
        <v>3</v>
      </c>
      <c r="F17" s="2698"/>
      <c r="G17" s="2722"/>
      <c r="H17" s="2716"/>
      <c r="I17" s="1699"/>
      <c r="J17" s="2723"/>
      <c r="K17" s="2724">
        <v>2000</v>
      </c>
      <c r="L17" s="1216">
        <v>0</v>
      </c>
      <c r="M17" s="2708">
        <f>L17*2000</f>
        <v>0</v>
      </c>
      <c r="N17" s="3207"/>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4806</v>
      </c>
      <c r="E19" s="936"/>
      <c r="F19" s="936"/>
      <c r="G19" s="929"/>
      <c r="H19" s="1700"/>
      <c r="I19" s="1700"/>
      <c r="J19" s="929"/>
      <c r="K19" s="929"/>
      <c r="L19" s="936"/>
      <c r="M19" s="930"/>
    </row>
    <row r="20" spans="1:23" ht="24" customHeight="1">
      <c r="A20" s="927">
        <v>1</v>
      </c>
      <c r="D20" s="1209" t="str">
        <f>"Công trình: "&amp;WORD!AB2</f>
        <v>Công trình: Xây dựng mới TBA 3P-1000kVA Công ty cổ phần Xuân Trường Solar</v>
      </c>
      <c r="E20" s="928"/>
      <c r="F20" s="928"/>
      <c r="G20" s="928"/>
      <c r="H20" s="1701"/>
      <c r="I20" s="1701"/>
      <c r="J20" s="928"/>
      <c r="K20" s="928"/>
      <c r="L20" s="928"/>
    </row>
    <row r="21" spans="1:23" ht="21" customHeight="1">
      <c r="A21" s="931"/>
      <c r="D21" s="1210" t="str">
        <f>"Địa điểm: "&amp;WORD!AD2</f>
        <v>Địa điểm: Xã Xuân Hưng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10" t="s">
        <v>1708</v>
      </c>
      <c r="E22" s="3210" t="s">
        <v>2597</v>
      </c>
      <c r="F22" s="3210" t="s">
        <v>2598</v>
      </c>
      <c r="G22" s="3210" t="s">
        <v>2593</v>
      </c>
      <c r="H22" s="2910" t="s">
        <v>4284</v>
      </c>
      <c r="I22" s="2911"/>
      <c r="J22" s="2912"/>
      <c r="K22" s="2912"/>
      <c r="L22" s="3211" t="s">
        <v>2599</v>
      </c>
      <c r="M22" s="930"/>
    </row>
    <row r="23" spans="1:23" s="1012" customFormat="1" ht="27" customHeight="1">
      <c r="A23" s="1082"/>
      <c r="B23" s="1217"/>
      <c r="C23" s="2826"/>
      <c r="D23" s="3210"/>
      <c r="E23" s="3210"/>
      <c r="F23" s="3210"/>
      <c r="G23" s="3210"/>
      <c r="H23" s="2913" t="s">
        <v>4283</v>
      </c>
      <c r="I23" s="2913" t="s">
        <v>4280</v>
      </c>
      <c r="J23" s="2914" t="s">
        <v>4281</v>
      </c>
      <c r="K23" s="2914" t="s">
        <v>4282</v>
      </c>
      <c r="L23" s="3211"/>
      <c r="M23" s="930">
        <v>1000</v>
      </c>
      <c r="N23" s="1012" t="s">
        <v>512</v>
      </c>
    </row>
    <row r="24" spans="1:23" s="1012" customFormat="1" ht="25.2" customHeight="1">
      <c r="A24" s="1082" t="s">
        <v>512</v>
      </c>
      <c r="B24" s="1217"/>
      <c r="C24" s="2826"/>
      <c r="D24" s="2915"/>
      <c r="E24" s="2915"/>
      <c r="F24" s="2916" t="s">
        <v>3671</v>
      </c>
      <c r="G24" s="2915"/>
      <c r="H24" s="2917"/>
      <c r="I24" s="2917"/>
      <c r="J24" s="2915"/>
      <c r="K24" s="2915"/>
      <c r="L24" s="2918"/>
      <c r="M24" s="998" t="s">
        <v>4350</v>
      </c>
      <c r="N24" s="1104"/>
      <c r="O24" s="1104"/>
      <c r="P24" s="1104"/>
      <c r="Q24" s="1104"/>
      <c r="R24" s="1104"/>
      <c r="S24" s="1104"/>
      <c r="T24" s="1104"/>
      <c r="U24" s="1104"/>
      <c r="V24" s="1104"/>
    </row>
    <row r="25" spans="1:23" s="1012" customFormat="1" ht="25.2"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2"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2"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2"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2"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2"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2"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2"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2"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2"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2"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2"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2"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2"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2"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2"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2"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2"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2"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2" hidden="1" customHeight="1">
      <c r="A81" s="1082">
        <f t="shared" si="0"/>
        <v>0</v>
      </c>
      <c r="B81" s="1227" t="s">
        <v>4443</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4444</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4445</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4446</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2"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2" hidden="1" customHeight="1">
      <c r="A102" s="1082">
        <f t="shared" si="3"/>
        <v>0</v>
      </c>
      <c r="B102" s="1217"/>
      <c r="C102" s="2833"/>
      <c r="D102" s="1090"/>
      <c r="E102" s="930"/>
      <c r="H102" s="1731"/>
      <c r="I102" s="1188">
        <f t="shared" si="4"/>
        <v>0</v>
      </c>
      <c r="M102" s="930"/>
    </row>
    <row r="103" spans="1:14" s="1012" customFormat="1" ht="25.2"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2"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2"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2"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2"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2"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2"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2"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2"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2"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2"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2"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9"/>
      <c r="D128" s="1007">
        <f>IF(H128&gt;0,D122+1,D122)</f>
        <v>0</v>
      </c>
      <c r="E128" s="1114"/>
      <c r="F128" s="1126" t="s">
        <v>4776</v>
      </c>
      <c r="G128" s="1095" t="s">
        <v>2385</v>
      </c>
      <c r="H128" s="1703">
        <f>SUM(H105:H105)</f>
        <v>0</v>
      </c>
      <c r="I128" s="1188">
        <f t="shared" si="4"/>
        <v>0</v>
      </c>
      <c r="J128" s="1060"/>
      <c r="K128" s="1060"/>
      <c r="L128" s="1011"/>
      <c r="M128" s="930">
        <v>25</v>
      </c>
    </row>
    <row r="129" spans="1:13" s="1012" customFormat="1" ht="25.2"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2" hidden="1" customHeight="1">
      <c r="A130" s="1082">
        <f t="shared" si="3"/>
        <v>0</v>
      </c>
      <c r="B130" s="1222" t="s">
        <v>4540</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4726</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4331</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2"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2"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2"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2"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2"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2" hidden="1" customHeight="1">
      <c r="A162" s="1082">
        <f t="shared" si="6"/>
        <v>0</v>
      </c>
      <c r="B162" s="1225" t="s">
        <v>4447</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4535</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2"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2"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4516</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2" hidden="1" customHeight="1">
      <c r="A193" s="1082">
        <f t="shared" si="6"/>
        <v>0</v>
      </c>
      <c r="B193" s="1217"/>
      <c r="C193" s="2833"/>
      <c r="D193" s="1065"/>
      <c r="E193" s="1119"/>
      <c r="F193" s="999"/>
      <c r="G193" s="1121"/>
      <c r="H193" s="1705"/>
      <c r="I193" s="999"/>
      <c r="J193" s="1122"/>
      <c r="K193" s="1123"/>
      <c r="L193" s="1065"/>
      <c r="M193" s="930">
        <v>25</v>
      </c>
    </row>
    <row r="194" spans="1:14" s="1012" customFormat="1" ht="25.2" hidden="1" customHeight="1">
      <c r="A194" s="1082">
        <f t="shared" si="6"/>
        <v>0</v>
      </c>
      <c r="B194" s="1217"/>
      <c r="C194" s="2833"/>
      <c r="D194" s="1090"/>
      <c r="E194" s="930"/>
      <c r="H194" s="1731"/>
      <c r="I194" s="1188">
        <f t="shared" si="7"/>
        <v>0</v>
      </c>
      <c r="M194" s="930"/>
    </row>
    <row r="195" spans="1:14" s="1012" customFormat="1" ht="25.2"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2" hidden="1" customHeight="1">
      <c r="A196" s="1082">
        <f t="shared" si="6"/>
        <v>0</v>
      </c>
      <c r="B196" s="1222"/>
      <c r="C196" s="2829"/>
      <c r="D196" s="1085"/>
      <c r="E196" s="1086"/>
      <c r="F196" s="999" t="s">
        <v>3671</v>
      </c>
      <c r="G196" s="1088"/>
      <c r="H196" s="1702"/>
      <c r="I196" s="1188">
        <f t="shared" si="7"/>
        <v>0</v>
      </c>
      <c r="J196" s="1088"/>
      <c r="K196" s="1088"/>
      <c r="L196" s="1065"/>
      <c r="M196" s="930" t="s">
        <v>4351</v>
      </c>
    </row>
    <row r="197" spans="1:14" s="1012" customFormat="1" ht="25.2"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4351</v>
      </c>
    </row>
    <row r="198" spans="1:14" s="1012" customFormat="1" ht="25.2"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4351</v>
      </c>
    </row>
    <row r="199" spans="1:14" s="1012" customFormat="1" ht="25.2"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4351</v>
      </c>
    </row>
    <row r="200" spans="1:14" s="1012" customFormat="1" ht="25.2"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4351</v>
      </c>
    </row>
    <row r="201" spans="1:14" s="1012" customFormat="1" ht="25.2"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4351</v>
      </c>
    </row>
    <row r="202" spans="1:14" s="1012" customFormat="1" ht="25.2"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4351</v>
      </c>
    </row>
    <row r="203" spans="1:14" s="1012" customFormat="1" ht="25.2"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4351</v>
      </c>
    </row>
    <row r="204" spans="1:14" s="1012" customFormat="1" ht="25.2" hidden="1" customHeight="1">
      <c r="A204" s="1082">
        <f t="shared" si="6"/>
        <v>0</v>
      </c>
      <c r="B204" s="1222"/>
      <c r="C204" s="2829"/>
      <c r="D204" s="1036"/>
      <c r="E204" s="1108"/>
      <c r="F204" s="1089"/>
      <c r="G204" s="1036"/>
      <c r="H204" s="1131"/>
      <c r="I204" s="1188">
        <f t="shared" si="7"/>
        <v>0</v>
      </c>
      <c r="J204" s="1089"/>
      <c r="K204" s="1036"/>
      <c r="L204" s="1065"/>
      <c r="M204" s="930" t="s">
        <v>4351</v>
      </c>
    </row>
    <row r="205" spans="1:14" s="1012" customFormat="1" ht="25.2" hidden="1" customHeight="1">
      <c r="A205" s="1082">
        <f t="shared" si="6"/>
        <v>0</v>
      </c>
      <c r="B205" s="1222"/>
      <c r="C205" s="2829"/>
      <c r="D205" s="1110"/>
      <c r="E205" s="1111"/>
      <c r="F205" s="999" t="s">
        <v>3672</v>
      </c>
      <c r="G205" s="999"/>
      <c r="H205" s="1702"/>
      <c r="I205" s="1188">
        <f t="shared" si="7"/>
        <v>0</v>
      </c>
      <c r="J205" s="999"/>
      <c r="K205" s="999"/>
      <c r="L205" s="1065"/>
      <c r="M205" s="930" t="s">
        <v>4351</v>
      </c>
    </row>
    <row r="206" spans="1:14" s="1012" customFormat="1" ht="25.2"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4351</v>
      </c>
    </row>
    <row r="207" spans="1:14" s="1012" customFormat="1" ht="25.2"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4351</v>
      </c>
    </row>
    <row r="208" spans="1:14" s="1012" customFormat="1" ht="25.2" hidden="1" customHeight="1">
      <c r="A208" s="1082">
        <f t="shared" si="6"/>
        <v>0</v>
      </c>
      <c r="B208" s="1222"/>
      <c r="C208" s="2829"/>
      <c r="D208" s="1095"/>
      <c r="E208" s="1114"/>
      <c r="F208" s="1260" t="s">
        <v>2279</v>
      </c>
      <c r="G208" s="1039"/>
      <c r="H208" s="1096"/>
      <c r="I208" s="1188">
        <f t="shared" si="7"/>
        <v>0</v>
      </c>
      <c r="J208" s="1060"/>
      <c r="K208" s="1060"/>
      <c r="L208" s="1039"/>
      <c r="M208" s="930" t="s">
        <v>4351</v>
      </c>
      <c r="N208" s="1116"/>
    </row>
    <row r="209" spans="1:14" s="1012" customFormat="1" ht="25.2"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4351</v>
      </c>
      <c r="N209" s="1116"/>
    </row>
    <row r="210" spans="1:14" s="1012" customFormat="1" ht="25.2"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4351</v>
      </c>
      <c r="N210" s="1116"/>
    </row>
    <row r="211" spans="1:14" s="1012" customFormat="1" ht="25.2"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4351</v>
      </c>
      <c r="N211" s="1116"/>
    </row>
    <row r="212" spans="1:14" s="1012" customFormat="1" ht="25.2"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4351</v>
      </c>
    </row>
    <row r="213" spans="1:14" s="1012" customFormat="1" ht="25.2" hidden="1" customHeight="1">
      <c r="A213" s="1082">
        <f t="shared" si="6"/>
        <v>0</v>
      </c>
      <c r="B213" s="1222"/>
      <c r="C213" s="2829"/>
      <c r="D213" s="1095"/>
      <c r="E213" s="1114"/>
      <c r="F213" s="1260" t="s">
        <v>2279</v>
      </c>
      <c r="G213" s="1039"/>
      <c r="H213" s="1096"/>
      <c r="I213" s="1188">
        <f t="shared" si="7"/>
        <v>0</v>
      </c>
      <c r="J213" s="1060"/>
      <c r="K213" s="1060"/>
      <c r="L213" s="1039"/>
      <c r="M213" s="930" t="s">
        <v>4351</v>
      </c>
      <c r="N213" s="1116"/>
    </row>
    <row r="214" spans="1:14" s="1012" customFormat="1" ht="25.2"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4351</v>
      </c>
      <c r="N214" s="1116"/>
    </row>
    <row r="215" spans="1:14" s="1012" customFormat="1" ht="25.2"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4351</v>
      </c>
      <c r="N215" s="1116"/>
    </row>
    <row r="216" spans="1:14" s="1012" customFormat="1" ht="25.2"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4351</v>
      </c>
      <c r="N216" s="1116"/>
    </row>
    <row r="217" spans="1:14" s="1012" customFormat="1" ht="25.2"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4351</v>
      </c>
      <c r="N217" s="1116"/>
    </row>
    <row r="218" spans="1:14" s="1012" customFormat="1" ht="25.2"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4351</v>
      </c>
    </row>
    <row r="219" spans="1:14" s="1012" customFormat="1" ht="25.2" hidden="1" customHeight="1">
      <c r="A219" s="1082">
        <f t="shared" si="9"/>
        <v>0</v>
      </c>
      <c r="B219" s="1222"/>
      <c r="C219" s="2829"/>
      <c r="D219" s="1095"/>
      <c r="E219" s="1114"/>
      <c r="F219" s="1261" t="s">
        <v>2279</v>
      </c>
      <c r="G219" s="1039"/>
      <c r="H219" s="1096"/>
      <c r="I219" s="1188">
        <f t="shared" si="7"/>
        <v>0</v>
      </c>
      <c r="J219" s="1037"/>
      <c r="K219" s="1037"/>
      <c r="L219" s="1011"/>
      <c r="M219" s="930" t="s">
        <v>4351</v>
      </c>
    </row>
    <row r="220" spans="1:14" s="1012" customFormat="1" ht="25.2"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4351</v>
      </c>
    </row>
    <row r="221" spans="1:14" s="1012" customFormat="1" ht="25.2"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4351</v>
      </c>
    </row>
    <row r="222" spans="1:14" s="1012" customFormat="1" ht="25.2"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4351</v>
      </c>
    </row>
    <row r="223" spans="1:14" s="1012" customFormat="1" ht="25.2"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4351</v>
      </c>
    </row>
    <row r="224" spans="1:14" s="1012" customFormat="1" ht="25.2" hidden="1" customHeight="1">
      <c r="A224" s="1082">
        <f t="shared" si="9"/>
        <v>0</v>
      </c>
      <c r="B224" s="1222"/>
      <c r="C224" s="2829"/>
      <c r="D224" s="1039"/>
      <c r="E224" s="1117"/>
      <c r="F224" s="1261" t="s">
        <v>2279</v>
      </c>
      <c r="G224" s="1039"/>
      <c r="H224" s="1096"/>
      <c r="I224" s="1188">
        <f t="shared" si="7"/>
        <v>0</v>
      </c>
      <c r="J224" s="1037"/>
      <c r="K224" s="1037"/>
      <c r="L224" s="1011"/>
      <c r="M224" s="930" t="s">
        <v>4351</v>
      </c>
    </row>
    <row r="225" spans="1:13" s="1012" customFormat="1" ht="25.2"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4351</v>
      </c>
    </row>
    <row r="226" spans="1:13" s="1012" customFormat="1" ht="25.2"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4351</v>
      </c>
    </row>
    <row r="227" spans="1:13" s="1012" customFormat="1" ht="25.2"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4351</v>
      </c>
    </row>
    <row r="228" spans="1:13" s="1012" customFormat="1" ht="25.2"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4351</v>
      </c>
    </row>
    <row r="229" spans="1:13" s="1012" customFormat="1" ht="25.2"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4351</v>
      </c>
    </row>
    <row r="230" spans="1:13" s="1012" customFormat="1" ht="25.2"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4351</v>
      </c>
    </row>
    <row r="231" spans="1:13" s="1012" customFormat="1" ht="25.2"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4351</v>
      </c>
    </row>
    <row r="232" spans="1:13" s="1012" customFormat="1" ht="25.2"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4351</v>
      </c>
    </row>
    <row r="233" spans="1:13" s="1012" customFormat="1" ht="25.2"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4351</v>
      </c>
    </row>
    <row r="234" spans="1:13" s="1012" customFormat="1" ht="25.2"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4351</v>
      </c>
    </row>
    <row r="235" spans="1:13" s="1012" customFormat="1" ht="25.2"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4351</v>
      </c>
    </row>
    <row r="236" spans="1:13" s="1012" customFormat="1" ht="25.2"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4351</v>
      </c>
    </row>
    <row r="237" spans="1:13" s="1012" customFormat="1" ht="25.2"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4351</v>
      </c>
    </row>
    <row r="238" spans="1:13" s="1012" customFormat="1" ht="25.2"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4351</v>
      </c>
    </row>
    <row r="239" spans="1:13" s="1012" customFormat="1" ht="25.2" hidden="1" customHeight="1">
      <c r="A239" s="1082">
        <f t="shared" si="9"/>
        <v>0</v>
      </c>
      <c r="B239" s="1227"/>
      <c r="C239" s="2832"/>
      <c r="D239" s="1095"/>
      <c r="E239" s="1008"/>
      <c r="F239" s="1261" t="s">
        <v>2279</v>
      </c>
      <c r="G239" s="1039"/>
      <c r="H239" s="1096"/>
      <c r="I239" s="1188">
        <f t="shared" si="10"/>
        <v>0</v>
      </c>
      <c r="J239" s="1037"/>
      <c r="K239" s="1037"/>
      <c r="L239" s="1011"/>
      <c r="M239" s="930" t="s">
        <v>4351</v>
      </c>
    </row>
    <row r="240" spans="1:13" s="1012" customFormat="1" ht="25.2"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4351</v>
      </c>
    </row>
    <row r="241" spans="1:13" s="1012" customFormat="1" ht="25.2"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4351</v>
      </c>
    </row>
    <row r="242" spans="1:13" s="1012" customFormat="1" ht="25.2"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4351</v>
      </c>
    </row>
    <row r="243" spans="1:13" s="1012" customFormat="1" ht="25.2"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4351</v>
      </c>
    </row>
    <row r="244" spans="1:13" s="1012" customFormat="1" ht="25.2" hidden="1" customHeight="1">
      <c r="A244" s="1082">
        <f t="shared" si="9"/>
        <v>0</v>
      </c>
      <c r="B244" s="1227"/>
      <c r="C244" s="2832"/>
      <c r="D244" s="1095"/>
      <c r="E244" s="1008"/>
      <c r="F244" s="1261" t="s">
        <v>2279</v>
      </c>
      <c r="G244" s="1039"/>
      <c r="H244" s="1096"/>
      <c r="I244" s="1188">
        <f t="shared" si="10"/>
        <v>0</v>
      </c>
      <c r="J244" s="1037"/>
      <c r="K244" s="1037"/>
      <c r="L244" s="1011"/>
      <c r="M244" s="930" t="s">
        <v>4351</v>
      </c>
    </row>
    <row r="245" spans="1:13" s="1012" customFormat="1" ht="25.2" hidden="1" customHeight="1">
      <c r="A245" s="1082">
        <f t="shared" si="9"/>
        <v>0</v>
      </c>
      <c r="B245" s="1225" t="s">
        <v>4447</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4351</v>
      </c>
    </row>
    <row r="246" spans="1:13" s="1012" customFormat="1" ht="25.2"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4351</v>
      </c>
    </row>
    <row r="247" spans="1:13" s="1012" customFormat="1" ht="25.2"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4351</v>
      </c>
    </row>
    <row r="248" spans="1:13" s="1012" customFormat="1" ht="25.2"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4351</v>
      </c>
    </row>
    <row r="249" spans="1:13" s="1012" customFormat="1" ht="25.2"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4351</v>
      </c>
    </row>
    <row r="250" spans="1:13" s="1012" customFormat="1" ht="25.2" hidden="1" customHeight="1">
      <c r="A250" s="1082">
        <f t="shared" si="9"/>
        <v>0</v>
      </c>
      <c r="B250" s="1222"/>
      <c r="C250" s="2829"/>
      <c r="D250" s="1095"/>
      <c r="E250" s="1008"/>
      <c r="F250" s="1260" t="s">
        <v>2279</v>
      </c>
      <c r="G250" s="1095"/>
      <c r="H250" s="1703"/>
      <c r="I250" s="1188">
        <f t="shared" si="10"/>
        <v>0</v>
      </c>
      <c r="J250" s="1037"/>
      <c r="K250" s="1037"/>
      <c r="L250" s="1011"/>
      <c r="M250" s="930" t="s">
        <v>4351</v>
      </c>
    </row>
    <row r="251" spans="1:13" s="1012" customFormat="1" ht="25.2"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4351</v>
      </c>
    </row>
    <row r="252" spans="1:13" s="1012" customFormat="1" ht="25.2"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4351</v>
      </c>
    </row>
    <row r="253" spans="1:13" s="1012" customFormat="1" ht="25.2"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4351</v>
      </c>
    </row>
    <row r="254" spans="1:13" s="1012" customFormat="1" ht="25.2"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4351</v>
      </c>
    </row>
    <row r="255" spans="1:13" s="1012" customFormat="1" ht="25.2"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4351</v>
      </c>
    </row>
    <row r="256" spans="1:13" s="1012" customFormat="1" ht="25.2"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4351</v>
      </c>
    </row>
    <row r="257" spans="1:13" s="1012" customFormat="1" ht="25.2"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4351</v>
      </c>
    </row>
    <row r="258" spans="1:13" s="1012" customFormat="1" ht="25.2"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4351</v>
      </c>
    </row>
    <row r="259" spans="1:13" s="1012" customFormat="1" ht="25.2"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4351</v>
      </c>
    </row>
    <row r="260" spans="1:13" s="1012" customFormat="1" ht="25.2"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4351</v>
      </c>
    </row>
    <row r="261" spans="1:13" s="1012" customFormat="1" ht="25.2"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4351</v>
      </c>
    </row>
    <row r="262" spans="1:13" s="1012" customFormat="1" ht="25.2"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4351</v>
      </c>
    </row>
    <row r="263" spans="1:13" s="1012" customFormat="1" ht="25.2"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4351</v>
      </c>
    </row>
    <row r="264" spans="1:13" s="1012" customFormat="1" ht="25.2"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4351</v>
      </c>
    </row>
    <row r="265" spans="1:13" s="1012" customFormat="1" ht="25.2"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4351</v>
      </c>
    </row>
    <row r="266" spans="1:13" s="1012" customFormat="1" ht="25.2"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4351</v>
      </c>
    </row>
    <row r="267" spans="1:13" s="1012" customFormat="1" ht="25.2"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4351</v>
      </c>
    </row>
    <row r="268" spans="1:13" s="1012" customFormat="1" ht="25.2"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2" hidden="1" customHeight="1">
      <c r="A269" s="1082">
        <f t="shared" si="9"/>
        <v>0</v>
      </c>
      <c r="B269" s="1217"/>
      <c r="C269" s="2833"/>
      <c r="D269" s="1090"/>
      <c r="E269" s="930"/>
      <c r="H269" s="1731"/>
      <c r="I269" s="1188">
        <f t="shared" si="10"/>
        <v>0</v>
      </c>
      <c r="M269" s="930"/>
    </row>
    <row r="270" spans="1:13" s="1012" customFormat="1" ht="25.2"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2"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2"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2"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2"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2"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2" hidden="1" customHeight="1">
      <c r="A281" s="1082">
        <f t="shared" si="9"/>
        <v>0</v>
      </c>
      <c r="B281" s="1222"/>
      <c r="C281" s="2829"/>
      <c r="D281" s="1085"/>
      <c r="E281" s="1086"/>
      <c r="F281" s="1122" t="s">
        <v>4448</v>
      </c>
      <c r="G281" s="1088"/>
      <c r="H281" s="1702"/>
      <c r="I281" s="1188">
        <f t="shared" si="10"/>
        <v>0</v>
      </c>
      <c r="J281" s="1088"/>
      <c r="K281" s="1088"/>
      <c r="L281" s="1065"/>
      <c r="M281" s="930">
        <v>50</v>
      </c>
    </row>
    <row r="282" spans="1:13" s="1012" customFormat="1" ht="25.2"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2"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2"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2"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2"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2"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2"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2"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2"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2"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2"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2"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2"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2"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2"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2"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2"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2"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2"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9"/>
      <c r="D309" s="1007">
        <f>IF(H309&gt;0,D303+1,D303)</f>
        <v>0</v>
      </c>
      <c r="E309" s="1114"/>
      <c r="F309" s="1126" t="s">
        <v>4730</v>
      </c>
      <c r="G309" s="1095" t="s">
        <v>2385</v>
      </c>
      <c r="H309" s="1703">
        <f>SUM(H272:H272)</f>
        <v>0</v>
      </c>
      <c r="I309" s="1188">
        <f t="shared" si="13"/>
        <v>0</v>
      </c>
      <c r="J309" s="1037"/>
      <c r="K309" s="1037"/>
      <c r="L309" s="1011"/>
      <c r="M309" s="930">
        <v>50</v>
      </c>
    </row>
    <row r="310" spans="1:14" s="1012" customFormat="1" ht="25.2"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2" hidden="1" customHeight="1">
      <c r="A311" s="1082">
        <f t="shared" si="12"/>
        <v>0</v>
      </c>
      <c r="B311" s="1222" t="s">
        <v>4540</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2" hidden="1" customHeight="1">
      <c r="A312" s="1082">
        <f t="shared" si="12"/>
        <v>0</v>
      </c>
      <c r="B312" s="1222" t="s">
        <v>4726</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2"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2" hidden="1" customHeight="1">
      <c r="A314" s="1082">
        <f t="shared" si="12"/>
        <v>0</v>
      </c>
      <c r="B314" s="1222" t="s">
        <v>4331</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2" hidden="1" customHeight="1">
      <c r="A315" s="1082">
        <f t="shared" si="12"/>
        <v>0</v>
      </c>
      <c r="B315" s="1222"/>
      <c r="C315" s="2829"/>
      <c r="D315" s="1095">
        <f>IF(H315&gt;0,D309+1,D309)</f>
        <v>0</v>
      </c>
      <c r="E315" s="1114"/>
      <c r="F315" s="1126" t="s">
        <v>4805</v>
      </c>
      <c r="G315" s="1095" t="s">
        <v>2385</v>
      </c>
      <c r="H315" s="1703">
        <f>H309</f>
        <v>0</v>
      </c>
      <c r="I315" s="1188">
        <f t="shared" si="13"/>
        <v>0</v>
      </c>
      <c r="J315" s="1037"/>
      <c r="K315" s="1037"/>
      <c r="L315" s="1011"/>
      <c r="M315" s="930">
        <v>50</v>
      </c>
    </row>
    <row r="316" spans="1:14" s="1012" customFormat="1" ht="25.2"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2"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2"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2"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2"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2"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2"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2"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2"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2"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2"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2"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2"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2"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2" hidden="1" customHeight="1">
      <c r="A352" s="1082">
        <f t="shared" si="15"/>
        <v>0</v>
      </c>
      <c r="B352" s="1222" t="s">
        <v>4516</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2"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2"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2"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2"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2"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2"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2"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2"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2"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2"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2"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2"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2"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2"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2"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2" hidden="1" customHeight="1">
      <c r="A368" s="1082">
        <f t="shared" si="15"/>
        <v>0</v>
      </c>
      <c r="B368" s="1217"/>
      <c r="C368" s="2833"/>
      <c r="D368" s="1090"/>
      <c r="E368" s="930"/>
      <c r="H368" s="1731"/>
      <c r="I368" s="1188">
        <f t="shared" si="17"/>
        <v>0</v>
      </c>
      <c r="M368" s="930"/>
    </row>
    <row r="369" spans="1:14" s="1012" customFormat="1" ht="25.2"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2"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2"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2"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4507</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2" hidden="1" customHeight="1">
      <c r="A377" s="1082">
        <f t="shared" si="15"/>
        <v>0</v>
      </c>
      <c r="B377" s="1229" t="s">
        <v>4508</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2"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2"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2"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2"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2"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2"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2"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2" hidden="1" customHeight="1">
      <c r="A396" s="1082">
        <f t="shared" si="15"/>
        <v>0</v>
      </c>
      <c r="B396" s="1373" t="s">
        <v>4510</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4512</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2"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2"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2"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2"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2"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2"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4459</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4340</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4348</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4514</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2"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2" hidden="1" customHeight="1">
      <c r="A429" s="1082">
        <f t="shared" si="19"/>
        <v>0</v>
      </c>
      <c r="B429" s="1222" t="s">
        <v>4515</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4516</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2"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2" hidden="1" customHeight="1">
      <c r="A451" s="1082">
        <f t="shared" si="19"/>
        <v>0</v>
      </c>
      <c r="B451" s="1222"/>
      <c r="C451" s="2829"/>
      <c r="D451" s="1090"/>
      <c r="E451" s="1129"/>
      <c r="F451" s="1130"/>
      <c r="H451" s="1731"/>
      <c r="I451" s="1188">
        <f t="shared" si="20"/>
        <v>0</v>
      </c>
      <c r="M451" s="930"/>
    </row>
    <row r="452" spans="1:14" s="1012" customFormat="1" ht="25.2"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2"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2"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2"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2"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2"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2"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2"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2"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2"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2"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4726</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2"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2"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2"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2"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2"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2"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2"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2"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2" hidden="1" customHeight="1">
      <c r="A512" s="1082">
        <f t="shared" si="22"/>
        <v>0</v>
      </c>
      <c r="B512" s="1222" t="s">
        <v>4754</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4516</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4755</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2"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2" hidden="1" customHeight="1">
      <c r="A530" s="1082">
        <f t="shared" si="22"/>
        <v>0</v>
      </c>
      <c r="B530" s="1222"/>
      <c r="C530" s="2829"/>
      <c r="D530" s="1090"/>
      <c r="E530" s="1129"/>
      <c r="F530" s="1130"/>
      <c r="H530" s="1731"/>
      <c r="I530" s="1188">
        <f t="shared" si="23"/>
        <v>0</v>
      </c>
      <c r="M530" s="930"/>
    </row>
    <row r="531" spans="1:13" s="1012" customFormat="1" ht="25.2"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2"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2"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2"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2"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2"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2"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2"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2"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2"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2"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2"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2"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2"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2"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2"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2"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2"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2"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2"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2"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2"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2"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2"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2"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2"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2"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2"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2"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2"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2"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2"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2"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2"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2"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2"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2"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2"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2"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2"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2"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2"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2"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2"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2"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2"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2"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2"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2"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2"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2"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2"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2"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2"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2"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2"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2"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2"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2"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2"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2"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2"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2"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2"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2"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2"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2"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2"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2"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2"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2"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2"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2"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2"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2"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2"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2"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2"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2"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2"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2"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2"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2"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2"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2"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2"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2"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2"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2"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2" hidden="1" customHeight="1">
      <c r="A620" s="1082">
        <f t="shared" si="26"/>
        <v>0</v>
      </c>
      <c r="B620" s="1217"/>
      <c r="C620" s="2833"/>
      <c r="D620" s="1090"/>
      <c r="E620" s="1129"/>
      <c r="H620" s="1731"/>
      <c r="I620" s="1188">
        <f t="shared" si="25"/>
        <v>0</v>
      </c>
      <c r="M620" s="930"/>
    </row>
    <row r="621" spans="1:13" s="1012" customFormat="1" ht="25.2"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2"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2"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2"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2"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2"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2"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2"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2"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2"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2"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2"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2"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2"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2"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2"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2"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2"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2"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2"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2"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2"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2"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2"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2"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2"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2"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2"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2"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2"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2"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2"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2"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2"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2"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2"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2"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2"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2"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2"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2"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2"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2"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2"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2"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2"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2"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2"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2"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2"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2"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2"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2"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2"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2"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2"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2"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2"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2" hidden="1" customHeight="1">
      <c r="A679" s="1082">
        <f t="shared" si="29"/>
        <v>0</v>
      </c>
      <c r="B679" s="1225" t="s">
        <v>4447</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2"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2"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2"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2"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2"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2"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2"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2"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2"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2"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2"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2"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2"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2"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2"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2"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2"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2"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2"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2"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2"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2"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2"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2"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2"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2"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2"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2"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2"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2"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2"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2"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2"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2"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2"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2" hidden="1" customHeight="1">
      <c r="A715" s="1082">
        <f t="shared" si="29"/>
        <v>0</v>
      </c>
      <c r="B715" s="1217" t="s">
        <v>4352</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2"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2"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2"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2"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2"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2"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2"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2"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2"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2"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2"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2"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2"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2"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2"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2"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2"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2"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2"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2"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2"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2"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2"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2"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2"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2"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2"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2"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2"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2"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2"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2"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2"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2"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2"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2" hidden="1" customHeight="1">
      <c r="A751" s="1082">
        <f t="shared" si="32"/>
        <v>0</v>
      </c>
      <c r="B751" s="1222"/>
      <c r="C751" s="2829"/>
      <c r="D751" s="1092">
        <f>IF(H751&gt;0,D745+1,D745)</f>
        <v>0</v>
      </c>
      <c r="E751" s="1097"/>
      <c r="F751" s="1098" t="s">
        <v>4342</v>
      </c>
      <c r="G751" s="1003" t="s">
        <v>2385</v>
      </c>
      <c r="H751" s="2738">
        <f>H734</f>
        <v>0</v>
      </c>
      <c r="I751" s="1189">
        <f t="shared" si="33"/>
        <v>0</v>
      </c>
      <c r="J751" s="1003"/>
      <c r="K751" s="1003"/>
      <c r="L751" s="1003"/>
      <c r="M751" s="930" t="s">
        <v>1261</v>
      </c>
    </row>
    <row r="752" spans="1:14" s="1012" customFormat="1" ht="25.2"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2" hidden="1" customHeight="1">
      <c r="A753" s="1082">
        <f t="shared" si="32"/>
        <v>0</v>
      </c>
      <c r="B753" s="1083" t="s">
        <v>4330</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2"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2"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2"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2"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2"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2" hidden="1" customHeight="1">
      <c r="A759" s="1082">
        <f t="shared" si="32"/>
        <v>0</v>
      </c>
      <c r="B759" s="1222"/>
      <c r="C759" s="2829"/>
      <c r="D759" s="1092">
        <f>IF(H759&gt;0,D751+1,D751)</f>
        <v>0</v>
      </c>
      <c r="E759" s="1093"/>
      <c r="F759" s="1094" t="s">
        <v>4375</v>
      </c>
      <c r="G759" s="1003" t="s">
        <v>2385</v>
      </c>
      <c r="H759" s="2738"/>
      <c r="I759" s="1189">
        <f t="shared" si="33"/>
        <v>0</v>
      </c>
      <c r="J759" s="1003"/>
      <c r="K759" s="1003"/>
      <c r="L759" s="1003"/>
      <c r="M759" s="930" t="s">
        <v>1261</v>
      </c>
    </row>
    <row r="760" spans="1:13" s="1012" customFormat="1" ht="25.2"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2"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2"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2"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2"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2"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2"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2"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2"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2"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2"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2"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2"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2"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2"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2"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2"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2"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2"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2"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2"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2"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2"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2"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2"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2"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2"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2"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2"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2"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2"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2"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2"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2"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2"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2"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2"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2"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2"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2"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2"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2"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2"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2"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2"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2"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2" hidden="1" customHeight="1">
      <c r="A806" s="1082">
        <f t="shared" si="34"/>
        <v>0</v>
      </c>
      <c r="B806" s="1222" t="s">
        <v>4344</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2"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2"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2"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2"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2" hidden="1" customHeight="1">
      <c r="A811" s="1082">
        <f t="shared" si="34"/>
        <v>0</v>
      </c>
      <c r="B811" s="1227" t="s">
        <v>4346</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2" hidden="1" customHeight="1">
      <c r="A812" s="1082">
        <f t="shared" si="34"/>
        <v>0</v>
      </c>
      <c r="B812" s="1227" t="s">
        <v>4340</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2" hidden="1" customHeight="1">
      <c r="A813" s="1082">
        <f t="shared" si="34"/>
        <v>0</v>
      </c>
      <c r="B813" s="1227" t="s">
        <v>4348</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2"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2"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2"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2"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2"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2" hidden="1" customHeight="1">
      <c r="A819" s="1082">
        <f t="shared" si="34"/>
        <v>0</v>
      </c>
      <c r="B819" s="1245"/>
      <c r="C819" s="2841"/>
      <c r="D819" s="1116"/>
      <c r="E819" s="1170"/>
      <c r="F819" s="1171"/>
      <c r="G819" s="1172"/>
      <c r="H819" s="1722"/>
      <c r="I819" s="1188">
        <f t="shared" si="35"/>
        <v>0</v>
      </c>
      <c r="J819" s="1171"/>
      <c r="K819" s="1171"/>
      <c r="M819" s="1116"/>
    </row>
    <row r="820" spans="1:13" s="1012" customFormat="1" ht="25.2"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2"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2" hidden="1" customHeight="1">
      <c r="A822" s="1082">
        <f t="shared" si="34"/>
        <v>0</v>
      </c>
      <c r="B822" s="1223" t="s">
        <v>4390</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2"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2"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2"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2" hidden="1" customHeight="1">
      <c r="A826" s="1082">
        <f t="shared" si="34"/>
        <v>0</v>
      </c>
      <c r="B826" s="1223" t="s">
        <v>4922</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2"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2"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2"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2"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2"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2"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2"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2"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2"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2"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2"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2" hidden="1" customHeight="1">
      <c r="A838" s="1082">
        <f t="shared" si="34"/>
        <v>0</v>
      </c>
      <c r="B838" s="1222" t="s">
        <v>4761</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2"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2"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2"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2"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2"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2"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2"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2"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2"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2"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2"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2"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2"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2" hidden="1" customHeight="1">
      <c r="A852" s="1082">
        <f t="shared" si="34"/>
        <v>0</v>
      </c>
      <c r="B852" s="1229" t="s">
        <v>4326</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2"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2"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2"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2"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2"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2"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2"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2"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2"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2"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2"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2"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2"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2"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2"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2"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2"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2"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2"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2"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2"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2"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2"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2"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2"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2"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2"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2"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2"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2"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2"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2"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2"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2"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2"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2"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2"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2"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2"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2"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2"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2"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2"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2"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2" hidden="1" customHeight="1">
      <c r="A897" s="1082">
        <f t="shared" si="37"/>
        <v>0</v>
      </c>
      <c r="B897" s="1222" t="s">
        <v>4923</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2"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2"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2"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2"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2"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2"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2"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2"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2"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2"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2"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2"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2"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2"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2"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2"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2"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2"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2"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2"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2"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2" hidden="1" customHeight="1">
      <c r="A919" s="1082">
        <f t="shared" si="37"/>
        <v>0</v>
      </c>
      <c r="B919" s="1222" t="s">
        <v>289</v>
      </c>
      <c r="C919" s="2829"/>
      <c r="D919" s="1183">
        <v>8</v>
      </c>
      <c r="E919" s="1184"/>
      <c r="F919" s="1944" t="s">
        <v>4765</v>
      </c>
      <c r="G919" s="1945" t="str">
        <f>VLOOKUP($B919,DG!A:D,DG!$D$2,)</f>
        <v>bộ</v>
      </c>
      <c r="H919" s="1728"/>
      <c r="I919" s="1188">
        <f t="shared" si="39"/>
        <v>0</v>
      </c>
      <c r="J919" s="1037"/>
      <c r="K919" s="1037"/>
      <c r="L919" s="1011"/>
      <c r="M919" s="930" t="s">
        <v>1262</v>
      </c>
    </row>
    <row r="920" spans="1:13" s="1012" customFormat="1" ht="25.2"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2"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2"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2"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2"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2"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2"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2"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2"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2"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2"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2"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2"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2"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2"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2"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2"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2"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2" hidden="1" customHeight="1">
      <c r="A938" s="1082">
        <f t="shared" si="40"/>
        <v>0</v>
      </c>
      <c r="B938" s="1222"/>
      <c r="C938" s="2829"/>
      <c r="D938" s="1078"/>
      <c r="E938" s="1067"/>
      <c r="F938" s="1034"/>
      <c r="G938" s="1068"/>
      <c r="H938" s="1729"/>
      <c r="I938" s="1729"/>
      <c r="J938" s="1729"/>
      <c r="K938" s="1729"/>
      <c r="L938" s="1729"/>
      <c r="M938" s="930"/>
    </row>
    <row r="939" spans="1:13" s="1012" customFormat="1" ht="25.2"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2" hidden="1" customHeight="1">
      <c r="A940" s="1082">
        <f t="shared" si="40"/>
        <v>0</v>
      </c>
      <c r="B940" s="1217"/>
      <c r="C940" s="2833"/>
      <c r="D940" s="1029"/>
      <c r="E940" s="930"/>
      <c r="F940" s="1030"/>
      <c r="G940" s="930"/>
      <c r="H940" s="1731"/>
      <c r="I940" s="1188">
        <f t="shared" si="38"/>
        <v>0</v>
      </c>
      <c r="L940" s="930"/>
      <c r="M940" s="930"/>
    </row>
    <row r="941" spans="1:13" s="1012" customFormat="1" ht="25.2"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2"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2"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2"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2"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2"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2"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2"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2"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2"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2"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2"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2"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2"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2"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2"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2"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2"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2"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2"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2"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2"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2"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2"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2"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2"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2" hidden="1" customHeight="1">
      <c r="A971" s="1082">
        <f t="shared" si="40"/>
        <v>0</v>
      </c>
      <c r="B971" s="1222"/>
      <c r="C971" s="2829"/>
      <c r="D971" s="1013">
        <f>IF(H971&gt;0,D961+1,D961)</f>
        <v>0</v>
      </c>
      <c r="E971" s="1055"/>
      <c r="F971" s="1048" t="s">
        <v>4822</v>
      </c>
      <c r="G971" s="1046" t="s">
        <v>2385</v>
      </c>
      <c r="H971" s="1738"/>
      <c r="I971" s="1188">
        <f t="shared" si="38"/>
        <v>0</v>
      </c>
      <c r="J971" s="1056"/>
      <c r="K971" s="1056"/>
      <c r="L971" s="1011"/>
      <c r="M971" s="930">
        <v>160</v>
      </c>
    </row>
    <row r="972" spans="1:13" s="1012" customFormat="1" ht="25.2"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2"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2"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2"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2"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2"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2" hidden="1" customHeight="1">
      <c r="A979" s="1082">
        <f t="shared" si="40"/>
        <v>0</v>
      </c>
      <c r="B979" s="1222"/>
      <c r="C979" s="2829"/>
      <c r="D979" s="1013">
        <f>IF(H979&gt;0,D969+1,D969)</f>
        <v>1</v>
      </c>
      <c r="E979" s="1055"/>
      <c r="F979" s="1048" t="s">
        <v>4823</v>
      </c>
      <c r="G979" s="1046" t="s">
        <v>2385</v>
      </c>
      <c r="H979" s="1738">
        <v>1</v>
      </c>
      <c r="I979" s="1188">
        <f t="shared" si="42"/>
        <v>0</v>
      </c>
      <c r="J979" s="1056"/>
      <c r="K979" s="1056"/>
      <c r="L979" s="1011"/>
      <c r="M979" s="930">
        <v>160</v>
      </c>
    </row>
    <row r="980" spans="1:13" s="1012" customFormat="1" ht="25.2"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2" hidden="1" customHeight="1">
      <c r="A981" s="1082">
        <f t="shared" si="40"/>
        <v>0</v>
      </c>
      <c r="B981" s="1083" t="s">
        <v>4826</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2" hidden="1" customHeight="1">
      <c r="A982" s="1082">
        <f t="shared" si="40"/>
        <v>0</v>
      </c>
      <c r="B982" s="1083" t="s">
        <v>4827</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2" hidden="1" customHeight="1">
      <c r="A983" s="1082">
        <f t="shared" si="40"/>
        <v>0</v>
      </c>
      <c r="B983" s="1083" t="s">
        <v>4828</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2" hidden="1" customHeight="1">
      <c r="A984" s="1082">
        <f t="shared" si="40"/>
        <v>0</v>
      </c>
      <c r="B984" s="1083" t="s">
        <v>4829</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2" hidden="1" customHeight="1">
      <c r="A985" s="1082">
        <f t="shared" si="40"/>
        <v>0</v>
      </c>
      <c r="B985" s="1083" t="s">
        <v>4830</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2" hidden="1" customHeight="1">
      <c r="A986" s="1082">
        <f t="shared" ref="A986:A1049" si="44">IF(AND(M986=$M$23,I986&gt;0),1,0)</f>
        <v>0</v>
      </c>
      <c r="B986" s="1083" t="s">
        <v>4831</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2" hidden="1" customHeight="1">
      <c r="A987" s="1082">
        <f t="shared" si="44"/>
        <v>0</v>
      </c>
      <c r="B987" s="1083" t="s">
        <v>4832</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2"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2"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2" hidden="1" customHeight="1">
      <c r="A990" s="1082">
        <f t="shared" si="44"/>
        <v>0</v>
      </c>
      <c r="B990" s="1222" t="s">
        <v>4834</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2" hidden="1" customHeight="1">
      <c r="A991" s="1082">
        <f t="shared" si="44"/>
        <v>0</v>
      </c>
      <c r="B991" s="1222" t="s">
        <v>4833</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2" hidden="1" customHeight="1">
      <c r="A992" s="1082">
        <f t="shared" si="44"/>
        <v>0</v>
      </c>
      <c r="B992" s="1222" t="s">
        <v>4835</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2" hidden="1" customHeight="1">
      <c r="A993" s="1082">
        <f t="shared" si="44"/>
        <v>0</v>
      </c>
      <c r="B993" s="1222" t="s">
        <v>2242</v>
      </c>
      <c r="C993" s="2829"/>
      <c r="D993" s="1007"/>
      <c r="E993" s="1020" t="str">
        <f>VLOOKUP($B993,DG!A:D,DG!$B$2,)</f>
        <v>05.6044</v>
      </c>
      <c r="F993" s="1009" t="s">
        <v>4838</v>
      </c>
      <c r="G993" s="1020" t="s">
        <v>2442</v>
      </c>
      <c r="H993" s="1709">
        <v>0.24</v>
      </c>
      <c r="I993" s="1188">
        <f t="shared" si="43"/>
        <v>0</v>
      </c>
      <c r="J993" s="1037"/>
      <c r="K993" s="1037"/>
      <c r="L993" s="1011"/>
      <c r="M993" s="930">
        <v>160</v>
      </c>
    </row>
    <row r="994" spans="1:13" s="1012" customFormat="1" ht="25.2"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2"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2"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2"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2"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2"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2"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2"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2" hidden="1" customHeight="1">
      <c r="A1002" s="1082">
        <f t="shared" si="44"/>
        <v>0</v>
      </c>
      <c r="B1002" s="1222"/>
      <c r="C1002" s="2829"/>
      <c r="D1002" s="1013">
        <f>IF(H1002&gt;0,D995+1,D995)</f>
        <v>0</v>
      </c>
      <c r="E1002" s="1014"/>
      <c r="F1002" s="1059" t="s">
        <v>4450</v>
      </c>
      <c r="G1002" s="1013" t="s">
        <v>2385</v>
      </c>
      <c r="H1002" s="1718">
        <f>$H$971*2</f>
        <v>0</v>
      </c>
      <c r="I1002" s="1188">
        <f t="shared" si="42"/>
        <v>0</v>
      </c>
      <c r="J1002" s="1060"/>
      <c r="K1002" s="1060"/>
      <c r="L1002" s="1011"/>
      <c r="M1002" s="930">
        <v>160</v>
      </c>
    </row>
    <row r="1003" spans="1:13" s="1012" customFormat="1" ht="25.2"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2"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2"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2"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2"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2"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2" hidden="1" customHeight="1">
      <c r="A1009" s="1082">
        <f t="shared" si="44"/>
        <v>0</v>
      </c>
      <c r="B1009" s="1222"/>
      <c r="C1009" s="2829"/>
      <c r="D1009" s="1013">
        <f>IF(H1009&gt;0,D1002+1,D1002)</f>
        <v>0</v>
      </c>
      <c r="E1009" s="1014"/>
      <c r="F1009" s="1059" t="s">
        <v>4457</v>
      </c>
      <c r="G1009" s="1013" t="s">
        <v>2385</v>
      </c>
      <c r="H1009" s="1718">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2" hidden="1" customHeight="1">
      <c r="A1011" s="1082">
        <f t="shared" si="44"/>
        <v>0</v>
      </c>
      <c r="B1011" s="1229" t="s">
        <v>4451</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2"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2"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2"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2"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2"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2"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2"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2"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2"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2"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2"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2"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2"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2"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2"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2"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2"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2"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2"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2"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2"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2"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2"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2"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2"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2"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2"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2"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2"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2"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2"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2"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2"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2"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2"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2"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2"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2"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2"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2"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2"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2"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2"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2"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2"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2"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2"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2"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2"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2"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2" hidden="1" customHeight="1">
      <c r="A1065" s="1082">
        <f t="shared" si="46"/>
        <v>0</v>
      </c>
      <c r="B1065" s="1222" t="s">
        <v>4412</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2"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2"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2"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2"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2" hidden="1" customHeight="1">
      <c r="A1071" s="1082">
        <f t="shared" si="46"/>
        <v>0</v>
      </c>
      <c r="B1071" s="1222" t="s">
        <v>4412</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2"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2"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2"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2"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2" hidden="1" customHeight="1">
      <c r="A1077" s="1082">
        <f t="shared" si="46"/>
        <v>0</v>
      </c>
      <c r="B1077" s="1252" t="s">
        <v>4840</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2"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2"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2"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2"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2"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2"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2"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2"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2"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2"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2"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2"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2"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2"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2"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2"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2"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2"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2"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2"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2"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2"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2"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2"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2"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2"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2"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2"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2"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2"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2"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2"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2"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2"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2"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2"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2"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2"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2"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2"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2"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2"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2" hidden="1" customHeight="1">
      <c r="A1123" s="1082">
        <f t="shared" si="48"/>
        <v>0</v>
      </c>
      <c r="B1123" s="1222" t="s">
        <v>4346</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2" hidden="1" customHeight="1">
      <c r="A1124" s="1082">
        <f t="shared" si="48"/>
        <v>0</v>
      </c>
      <c r="B1124" s="1222" t="s">
        <v>4340</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2" hidden="1" customHeight="1">
      <c r="A1125" s="1082">
        <f t="shared" si="48"/>
        <v>0</v>
      </c>
      <c r="B1125" s="1222" t="s">
        <v>4348</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2"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2"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2"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2" hidden="1" customHeight="1">
      <c r="A1130" s="1082">
        <f t="shared" si="48"/>
        <v>0</v>
      </c>
      <c r="B1130" s="1083" t="s">
        <v>235</v>
      </c>
      <c r="C1130" s="2830"/>
      <c r="D1130" s="1019"/>
      <c r="E1130" s="1008" t="e">
        <f>VLOOKUP($B1130,DG!A:D,DG!$B$2,)</f>
        <v>#N/A</v>
      </c>
      <c r="F1130" s="1009" t="e">
        <f>VLOOKUP($B1130,DG!A:D,DG!$C$2,)</f>
        <v>#N/A</v>
      </c>
      <c r="G1130" s="1008" t="e">
        <f>VLOOKUP($B1130,DG!A:D,DG!$D$2,)</f>
        <v>#N/A</v>
      </c>
      <c r="H1130" s="1709"/>
      <c r="I1130" s="1188">
        <f t="shared" si="49"/>
        <v>0</v>
      </c>
      <c r="J1130" s="1010"/>
      <c r="K1130" s="1010"/>
      <c r="L1130" s="1039"/>
      <c r="M1130" s="930">
        <v>160</v>
      </c>
    </row>
    <row r="1131" spans="1:13" s="1012" customFormat="1" ht="25.2"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2"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2"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2"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2"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2"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2"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2"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2"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2"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2"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2"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2"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2"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2"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2" hidden="1" customHeight="1">
      <c r="A1146" s="1082">
        <f t="shared" si="48"/>
        <v>0</v>
      </c>
      <c r="B1146" s="1222" t="s">
        <v>4458</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2"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2" hidden="1" customHeight="1">
      <c r="A1148" s="1082">
        <f t="shared" si="48"/>
        <v>0</v>
      </c>
      <c r="B1148" s="1222" t="s">
        <v>4596</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2" hidden="1" customHeight="1">
      <c r="A1149" s="1082">
        <f t="shared" si="48"/>
        <v>0</v>
      </c>
      <c r="B1149" s="1222" t="s">
        <v>4841</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2"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2"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2"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2"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2"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2"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2"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2"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2"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2"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2" hidden="1" customHeight="1">
      <c r="A1160" s="1082">
        <f t="shared" si="48"/>
        <v>0</v>
      </c>
      <c r="B1160" s="1222" t="s">
        <v>4346</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2" hidden="1" customHeight="1">
      <c r="A1161" s="1082">
        <f t="shared" si="48"/>
        <v>0</v>
      </c>
      <c r="B1161" s="1222" t="s">
        <v>4340</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2" hidden="1" customHeight="1">
      <c r="A1162" s="1082">
        <f t="shared" si="48"/>
        <v>0</v>
      </c>
      <c r="B1162" s="1222" t="s">
        <v>4348</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2"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2"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2"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2"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2"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2"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2"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2"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2"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2"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2"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2"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2"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2"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2"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2"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2"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2"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2"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2"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2"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2"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2"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2"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2"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2"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2"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2"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2"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2"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2"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2" hidden="1" customHeight="1">
      <c r="A1195" s="1082">
        <f t="shared" si="50"/>
        <v>0</v>
      </c>
      <c r="B1195" s="1083"/>
      <c r="C1195" s="2830"/>
      <c r="D1195" s="1071"/>
      <c r="F1195" s="1072"/>
      <c r="H1195" s="1731"/>
      <c r="I1195" s="1188">
        <f t="shared" si="49"/>
        <v>0</v>
      </c>
      <c r="M1195" s="930"/>
    </row>
    <row r="1196" spans="1:13" s="1012" customFormat="1" ht="25.2"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2"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2" hidden="1" customHeight="1">
      <c r="A1198" s="1082">
        <f t="shared" si="50"/>
        <v>0</v>
      </c>
      <c r="B1198" s="1223" t="s">
        <v>4496</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2"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2" hidden="1" customHeight="1">
      <c r="A1200" s="1082">
        <f t="shared" si="50"/>
        <v>0</v>
      </c>
      <c r="B1200" s="1223" t="s">
        <v>4497</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2"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2"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2" hidden="1" customHeight="1">
      <c r="A1203" s="1082">
        <f t="shared" si="50"/>
        <v>0</v>
      </c>
      <c r="B1203" s="1223" t="s">
        <v>4597</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4556</v>
      </c>
      <c r="M1203" s="930">
        <v>250</v>
      </c>
    </row>
    <row r="1204" spans="1:13" s="1012" customFormat="1" ht="25.2"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2"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2"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2"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2"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2"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2"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2"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2"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2"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2"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2"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2"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2"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2"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2"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2"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2"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2"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2"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2"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2"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2"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2"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2"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2"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2"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2"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2"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2"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2"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2"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2"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2"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2"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2"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2"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2"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2"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2"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2"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2"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2" hidden="1" customHeight="1">
      <c r="A1251" s="1082">
        <f t="shared" si="53"/>
        <v>0</v>
      </c>
      <c r="B1251" s="1240" t="s">
        <v>4326</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2"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2"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2"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2"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2"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2"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2" hidden="1" customHeight="1">
      <c r="A1258" s="1082">
        <f t="shared" si="53"/>
        <v>0</v>
      </c>
      <c r="B1258" s="1222"/>
      <c r="C1258" s="2829"/>
      <c r="D1258" s="1013">
        <f>IF(H1258&gt;0,D1249+1,D1249)</f>
        <v>2</v>
      </c>
      <c r="E1258" s="1014"/>
      <c r="F1258" s="1059" t="s">
        <v>4554</v>
      </c>
      <c r="G1258" s="1013" t="s">
        <v>2385</v>
      </c>
      <c r="H1258" s="1718">
        <v>1</v>
      </c>
      <c r="I1258" s="1188">
        <f t="shared" si="51"/>
        <v>0</v>
      </c>
      <c r="J1258" s="1060"/>
      <c r="K1258" s="1060"/>
      <c r="L1258" s="1011"/>
      <c r="M1258" s="930">
        <v>250</v>
      </c>
    </row>
    <row r="1259" spans="1:13" s="1012" customFormat="1" ht="25.2"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2"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2"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2"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2"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2"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2"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2"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2"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2"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2"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2"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2"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2"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2"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2"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2"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2"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2"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2"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2"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2"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2"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2"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2"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2"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2"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2"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2"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2"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2"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2"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2"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2"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2"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2"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2"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2"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2" hidden="1" customHeight="1">
      <c r="A1309" s="1082">
        <f t="shared" si="55"/>
        <v>0</v>
      </c>
      <c r="B1309" s="1222" t="s">
        <v>4406</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2"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2"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2"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2"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2" hidden="1" customHeight="1">
      <c r="A1315" s="1082">
        <f t="shared" si="55"/>
        <v>0</v>
      </c>
      <c r="B1315" s="1222" t="s">
        <v>4406</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2"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2"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2"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2"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2"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2"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2"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2"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2" hidden="1" customHeight="1">
      <c r="A1326" s="1082">
        <f t="shared" si="55"/>
        <v>0</v>
      </c>
      <c r="B1326" s="1222" t="s">
        <v>4406</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2"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2"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2"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2"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2"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2"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2"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2"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2"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2"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2"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2"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2"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2"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2"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2"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2"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2"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2"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2"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2"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2"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2"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2"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2"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2"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2"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2"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2"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2"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2"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2"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2"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2"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2" hidden="1" customHeight="1">
      <c r="A1363" s="1082">
        <f t="shared" si="55"/>
        <v>0</v>
      </c>
      <c r="B1363" s="2741" t="s">
        <v>4535</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2" hidden="1" customHeight="1">
      <c r="A1364" s="1082">
        <f t="shared" si="55"/>
        <v>0</v>
      </c>
      <c r="B1364" s="2741" t="s">
        <v>4346</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2" hidden="1" customHeight="1">
      <c r="A1365" s="1082">
        <f t="shared" si="55"/>
        <v>0</v>
      </c>
      <c r="B1365" s="2741" t="s">
        <v>4348</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2" hidden="1" customHeight="1">
      <c r="A1366" s="1082">
        <f t="shared" si="55"/>
        <v>0</v>
      </c>
      <c r="B1366" s="1083" t="s">
        <v>4557</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2" hidden="1" customHeight="1">
      <c r="A1367" s="1082">
        <f t="shared" si="55"/>
        <v>0</v>
      </c>
      <c r="B1367" s="2741" t="s">
        <v>4558</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2"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2"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2"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2"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2"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2"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2"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2"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2"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2"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2"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2"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2"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2"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2"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2"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2"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2"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2"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2"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2"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2"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2"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2"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2"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2"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2"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2"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2"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2"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2"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2"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2"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2"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2"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2" hidden="1" customHeight="1">
      <c r="A1405" s="1082">
        <f t="shared" si="57"/>
        <v>0</v>
      </c>
      <c r="B1405" s="1242" t="s">
        <v>4596</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2"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2"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2"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2"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2"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2"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2"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2"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2"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2"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2"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2"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2"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2"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2"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2"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2"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2"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2"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2"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2"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2"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2"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2"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2"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2"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2"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2"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2"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2"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2"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2"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2"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2"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2" hidden="1" customHeight="1">
      <c r="A1442" s="1082">
        <f t="shared" si="60"/>
        <v>0</v>
      </c>
      <c r="B1442" s="1083"/>
      <c r="C1442" s="2830"/>
      <c r="D1442" s="1071"/>
      <c r="F1442" s="1072"/>
      <c r="H1442" s="1731"/>
      <c r="I1442" s="1188">
        <f t="shared" si="58"/>
        <v>0</v>
      </c>
      <c r="M1442" s="930"/>
    </row>
    <row r="1443" spans="1:13" s="1012" customFormat="1" ht="25.2"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2"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2"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2"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2" hidden="1" customHeight="1">
      <c r="A1447" s="1082">
        <f t="shared" si="60"/>
        <v>0</v>
      </c>
      <c r="B1447" s="1223" t="s">
        <v>4497</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2"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2"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2"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2"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2"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2"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2"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2"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2"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2"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2"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2"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2"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2"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2"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2"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2"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2"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2"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2"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2"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2"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2"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2"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2"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2"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2"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2"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2"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2"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2" hidden="1" customHeight="1">
      <c r="A1483" s="1082">
        <f t="shared" si="60"/>
        <v>0</v>
      </c>
      <c r="B1483" s="1222"/>
      <c r="C1483" s="2829"/>
      <c r="D1483" s="1013">
        <f>IF(H1483&gt;0,D1474+1,D1474)</f>
        <v>0</v>
      </c>
      <c r="E1483" s="1014"/>
      <c r="F1483" s="1059" t="s">
        <v>4532</v>
      </c>
      <c r="G1483" s="1013" t="s">
        <v>2385</v>
      </c>
      <c r="H1483" s="1718">
        <f>H1474*2</f>
        <v>0</v>
      </c>
      <c r="I1483" s="1188">
        <f t="shared" si="62"/>
        <v>0</v>
      </c>
      <c r="J1483" s="1060"/>
      <c r="K1483" s="1060"/>
      <c r="L1483" s="1011"/>
      <c r="M1483" s="930">
        <v>320</v>
      </c>
    </row>
    <row r="1484" spans="1:13" s="1012" customFormat="1" ht="25.2"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2"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2"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2"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2"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2"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2"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2"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2"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2"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2"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2"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2"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2"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2"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2"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2"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2"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2"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2"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2"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2"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2"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2"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2"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2"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2"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2"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2"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2"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2"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2"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2"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2"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2"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2"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2"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2"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2"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2"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2"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2"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2"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2"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2"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2"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2"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2"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2"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2"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2"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2"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2"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2"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2" hidden="1" customHeight="1">
      <c r="A1544" s="1082">
        <f t="shared" si="63"/>
        <v>0</v>
      </c>
      <c r="B1544" s="1222"/>
      <c r="C1544" s="2829"/>
      <c r="D1544" s="1013">
        <f>IF(H1544&gt;0,D1523+1,D1523)</f>
        <v>1</v>
      </c>
      <c r="E1544" s="1014"/>
      <c r="F1544" s="1015" t="s">
        <v>4794</v>
      </c>
      <c r="G1544" s="1013" t="s">
        <v>2385</v>
      </c>
      <c r="H1544" s="1718">
        <v>1</v>
      </c>
      <c r="I1544" s="1188">
        <f t="shared" si="64"/>
        <v>0</v>
      </c>
      <c r="J1544" s="1010"/>
      <c r="K1544" s="1010"/>
      <c r="L1544" s="1011"/>
      <c r="M1544" s="930">
        <v>320</v>
      </c>
    </row>
    <row r="1545" spans="1:16" s="1012" customFormat="1" ht="25.2"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2"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2" hidden="1" customHeight="1">
      <c r="A1547" s="1082">
        <f t="shared" si="63"/>
        <v>0</v>
      </c>
      <c r="B1547" s="1222" t="s">
        <v>4406</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2"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2"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2"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2"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2" hidden="1" customHeight="1">
      <c r="A1553" s="1082">
        <f t="shared" si="63"/>
        <v>0</v>
      </c>
      <c r="B1553" s="1222" t="s">
        <v>4406</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2"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2"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2"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2"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2"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2"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2"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2"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2"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2"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2"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2"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2"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2"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2"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2"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2"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2"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2"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2"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2"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2"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2"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2"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2"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2"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2"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2"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2"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2"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2"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2"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2"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2"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2"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2"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2"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2"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2"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2"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2"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2"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2"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2" hidden="1" customHeight="1">
      <c r="A1603" s="1082">
        <f t="shared" si="65"/>
        <v>0</v>
      </c>
      <c r="B1603" s="1083" t="s">
        <v>4459</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2"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2"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2"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2" hidden="1" customHeight="1">
      <c r="A1607" s="1082">
        <f t="shared" si="65"/>
        <v>0</v>
      </c>
      <c r="B1607" s="1083" t="s">
        <v>4710</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2"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2"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2"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2"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2" hidden="1" customHeight="1">
      <c r="A1612" s="1082">
        <f t="shared" si="65"/>
        <v>0</v>
      </c>
      <c r="B1612" s="1083" t="s">
        <v>235</v>
      </c>
      <c r="C1612" s="2830"/>
      <c r="D1612" s="1019"/>
      <c r="E1612" s="1008" t="e">
        <f>VLOOKUP($B1612,DG!A:D,DG!$B$2,)</f>
        <v>#N/A</v>
      </c>
      <c r="F1612" s="1009" t="e">
        <f>VLOOKUP($B1612,DG!A:D,DG!$C$2,)</f>
        <v>#N/A</v>
      </c>
      <c r="G1612" s="1008" t="e">
        <f>VLOOKUP($B1612,DG!A:D,DG!$D$2,)</f>
        <v>#N/A</v>
      </c>
      <c r="H1612" s="1709"/>
      <c r="I1612" s="1188">
        <f t="shared" si="66"/>
        <v>0</v>
      </c>
      <c r="J1612" s="1010"/>
      <c r="K1612" s="1010"/>
      <c r="L1612" s="1039"/>
      <c r="M1612" s="930">
        <v>320</v>
      </c>
    </row>
    <row r="1613" spans="1:13" s="1012" customFormat="1" ht="25.2"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2"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2"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2"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2"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2"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2"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2"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2"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2"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2"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2"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2"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2"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2"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2"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2"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2"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2"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2"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2"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2"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2"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2"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2" hidden="1" customHeight="1">
      <c r="A1638" s="1082">
        <f t="shared" si="67"/>
        <v>0</v>
      </c>
      <c r="B1638" s="1222" t="s">
        <v>4763</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2"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2"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2"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2"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2"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2"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2"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2"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2"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2"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2"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2"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2"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2"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2"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2"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2"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2"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2"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2"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2"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2"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2"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2"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2"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2"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2"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2"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2"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2"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2"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2"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2"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2"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2"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2"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2"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2"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2"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2"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2" hidden="1" customHeight="1">
      <c r="A1679" s="1082">
        <f t="shared" si="67"/>
        <v>0</v>
      </c>
      <c r="B1679" s="1083"/>
      <c r="C1679" s="2830"/>
      <c r="D1679" s="1071"/>
      <c r="F1679" s="1072"/>
      <c r="H1679" s="1731"/>
      <c r="I1679" s="1188">
        <f t="shared" si="68"/>
        <v>0</v>
      </c>
      <c r="M1679" s="930"/>
    </row>
    <row r="1680" spans="1:13" s="1012" customFormat="1" ht="25.2"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2"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2" hidden="1" customHeight="1">
      <c r="A1682" s="1082">
        <f t="shared" si="67"/>
        <v>0</v>
      </c>
      <c r="B1682" s="1223" t="s">
        <v>4498</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2"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2" hidden="1" customHeight="1">
      <c r="A1684" s="1082">
        <f t="shared" si="67"/>
        <v>0</v>
      </c>
      <c r="B1684" s="1223" t="s">
        <v>4499</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2"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2"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2"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2"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2" hidden="1" customHeight="1">
      <c r="A1689" s="1082">
        <f t="shared" si="67"/>
        <v>0</v>
      </c>
      <c r="B1689" s="1223" t="s">
        <v>4500</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2"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2"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2"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2"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2"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2"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2"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2"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2"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2"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2"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2"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2"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2"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2"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2"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2"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2"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2"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2"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2"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2"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2"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2"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2"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2"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2"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2"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2"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2"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2"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2"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2"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2"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2"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2"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2"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2"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2"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2"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2"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2"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2"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2"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2"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2"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2"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2"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2"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2"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2"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2"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2"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2"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2"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2"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2"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2"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2"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2"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2"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2"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2"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2"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2"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2"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2"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2"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2"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2"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2"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2"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2"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2"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2"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2"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2"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2"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2"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2"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2"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2"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2" hidden="1" customHeight="1">
      <c r="A1783" s="1082">
        <f t="shared" si="72"/>
        <v>0</v>
      </c>
      <c r="B1783" s="1222" t="s">
        <v>4406</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2"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2"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2"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2"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2" hidden="1" customHeight="1">
      <c r="A1789" s="1082">
        <f t="shared" si="72"/>
        <v>0</v>
      </c>
      <c r="B1789" s="1222" t="s">
        <v>4406</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2"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2"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2"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2"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2"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2"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2"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2"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2" hidden="1" customHeight="1">
      <c r="A1799" s="1082">
        <f t="shared" si="72"/>
        <v>0</v>
      </c>
      <c r="B1799" s="1222" t="s">
        <v>4406</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2"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2"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2"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2"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2"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2"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2"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2"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2"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2"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2"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2"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2"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2"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2"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2"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2"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2"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2"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2"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2"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2"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2"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2"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2"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2"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2"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2"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2"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2"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2"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2"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2"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2"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2"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2"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2"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2"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2"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2" hidden="1" customHeight="1">
      <c r="A1842" s="1082">
        <f t="shared" si="74"/>
        <v>0</v>
      </c>
      <c r="B1842" s="1083" t="s">
        <v>235</v>
      </c>
      <c r="C1842" s="2830"/>
      <c r="D1842" s="1019"/>
      <c r="E1842" s="1008" t="e">
        <f>VLOOKUP($B1842,DG!A:D,DG!$B$2,)</f>
        <v>#N/A</v>
      </c>
      <c r="F1842" s="1009" t="e">
        <f>VLOOKUP($B1842,DG!A:D,DG!$C$2,)</f>
        <v>#N/A</v>
      </c>
      <c r="G1842" s="1008" t="e">
        <f>VLOOKUP($B1842,DG!A:D,DG!$D$2,)</f>
        <v>#N/A</v>
      </c>
      <c r="H1842" s="1709"/>
      <c r="I1842" s="1188">
        <f t="shared" si="73"/>
        <v>0</v>
      </c>
      <c r="J1842" s="1010"/>
      <c r="K1842" s="1010"/>
      <c r="L1842" s="1039"/>
      <c r="M1842" s="930">
        <v>400</v>
      </c>
    </row>
    <row r="1843" spans="1:13" s="1012" customFormat="1" ht="25.2"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2"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2"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2"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2"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2"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2"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2"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2"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2"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2"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2"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2"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2"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2"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2"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2"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2"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2"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2"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2"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2"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2"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2"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2"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2"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2"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2"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2"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2"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2"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2"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2"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2"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2"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2"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2"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2"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2"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2"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2"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2"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2"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2"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2"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2"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2"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2"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2"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2"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2"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2"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2"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2" hidden="1" customHeight="1">
      <c r="A1898" s="1082">
        <f t="shared" si="76"/>
        <v>0</v>
      </c>
      <c r="B1898" s="1083"/>
      <c r="C1898" s="2830"/>
      <c r="D1898" s="1071"/>
      <c r="F1898" s="1072"/>
      <c r="H1898" s="1731"/>
      <c r="I1898" s="1188">
        <f t="shared" si="75"/>
        <v>0</v>
      </c>
      <c r="M1898" s="930"/>
    </row>
    <row r="1899" spans="1:13" s="1012" customFormat="1" ht="25.2"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2"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2"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2"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2" hidden="1" customHeight="1">
      <c r="A1903" s="1082">
        <f t="shared" si="76"/>
        <v>0</v>
      </c>
      <c r="B1903" s="1223" t="s">
        <v>6418</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2"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2"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2"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2"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2"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2"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2" hidden="1" customHeight="1">
      <c r="A1911" s="1082">
        <f t="shared" si="76"/>
        <v>0</v>
      </c>
      <c r="B1911" s="1223" t="s">
        <v>4502</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2" hidden="1" customHeight="1">
      <c r="A1912" s="1082">
        <f t="shared" si="76"/>
        <v>0</v>
      </c>
      <c r="B1912" s="1223" t="s">
        <v>4500</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2"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2"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2"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2"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2"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2"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2"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2"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2"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2"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2"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2"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2"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2"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2"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2"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2"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2"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2"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2"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2"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2"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2"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2"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2"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2"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2" hidden="1" customHeight="1">
      <c r="A1943" s="1082">
        <f t="shared" si="76"/>
        <v>0</v>
      </c>
      <c r="B1943" s="1222"/>
      <c r="C1943" s="2829"/>
      <c r="D1943" s="1013">
        <f>IF(H1943&gt;0,D1927+1,D1927)</f>
        <v>1</v>
      </c>
      <c r="E1943" s="1014"/>
      <c r="F1943" s="1059" t="s">
        <v>6419</v>
      </c>
      <c r="G1943" s="1013" t="s">
        <v>2385</v>
      </c>
      <c r="H1943" s="2665">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2" hidden="1" customHeight="1">
      <c r="A1945" s="1082">
        <f t="shared" si="76"/>
        <v>0</v>
      </c>
      <c r="B1945" s="1229" t="s">
        <v>4326</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2"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2"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2"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2"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2"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2"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2"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2"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2"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2"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2"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2" hidden="1" customHeight="1">
      <c r="A1958" s="1082">
        <f t="shared" si="80"/>
        <v>0</v>
      </c>
      <c r="B1958" s="1222"/>
      <c r="C1958" s="2829"/>
      <c r="D1958" s="1013">
        <f>IF(H1958&gt;0,D1951+1,D1951)</f>
        <v>2</v>
      </c>
      <c r="E1958" s="1014"/>
      <c r="F1958" s="1059" t="s">
        <v>4450</v>
      </c>
      <c r="G1958" s="1013" t="s">
        <v>2385</v>
      </c>
      <c r="H1958" s="1718">
        <f>H1901*1</f>
        <v>1</v>
      </c>
      <c r="I1958" s="1188">
        <f t="shared" si="78"/>
        <v>0</v>
      </c>
      <c r="J1958" s="1060"/>
      <c r="K1958" s="1060"/>
      <c r="L1958" s="1011"/>
      <c r="M1958" s="930">
        <v>560</v>
      </c>
    </row>
    <row r="1959" spans="1:13" s="1012" customFormat="1" ht="25.2"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2" hidden="1" customHeight="1">
      <c r="A1960" s="1082">
        <f t="shared" si="80"/>
        <v>0</v>
      </c>
      <c r="B1960" s="1229" t="s">
        <v>6420</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2"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2"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2"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2"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2"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2"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2" hidden="1" customHeight="1">
      <c r="A1967" s="1082">
        <f t="shared" si="80"/>
        <v>0</v>
      </c>
      <c r="B1967" s="1222" t="s">
        <v>6420</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2"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2"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2"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2"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2"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2"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2"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2"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2"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2"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2"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2"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2"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2"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2"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2"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2"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2"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2"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2"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2"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2"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2"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2"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2"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2"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2"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2"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2"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2"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2"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2"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2"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2"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2"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2"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2"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2"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2"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2"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2"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2"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2" hidden="1" customHeight="1">
      <c r="A2015" s="1082">
        <f t="shared" si="83"/>
        <v>0</v>
      </c>
      <c r="B2015" s="1222" t="s">
        <v>4412</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2"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2"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2"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2"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2" hidden="1" customHeight="1">
      <c r="A2021" s="1082">
        <f t="shared" si="83"/>
        <v>0</v>
      </c>
      <c r="B2021" s="1222" t="s">
        <v>4412</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2"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2"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2"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2"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2"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2"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2"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2"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2"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2"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2" hidden="1" customHeight="1">
      <c r="A2033" s="1082">
        <f t="shared" si="83"/>
        <v>0</v>
      </c>
      <c r="B2033" s="1222" t="s">
        <v>4412</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2"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2"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2"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2"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2"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2"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2"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2"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2"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2"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2"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2"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2"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2"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2"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2"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2"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2"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2"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2"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2"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2"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2"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2"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2"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2"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2"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2"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2"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2"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2"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2"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2"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2"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2"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2"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2"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2"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2" hidden="1" customHeight="1">
      <c r="A2077" s="1082">
        <f t="shared" si="85"/>
        <v>0</v>
      </c>
      <c r="B2077" s="1083" t="s">
        <v>6421</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2"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2" hidden="1" customHeight="1">
      <c r="A2079" s="1082">
        <f t="shared" si="85"/>
        <v>0</v>
      </c>
      <c r="B2079" s="1083" t="s">
        <v>235</v>
      </c>
      <c r="C2079" s="2830"/>
      <c r="D2079" s="1019"/>
      <c r="E2079" s="1008" t="e">
        <f>VLOOKUP($B2079,DG!A:D,DG!$B$2,)</f>
        <v>#N/A</v>
      </c>
      <c r="F2079" s="1009" t="e">
        <f>VLOOKUP($B2079,DG!A:D,DG!$C$2,)</f>
        <v>#N/A</v>
      </c>
      <c r="G2079" s="1008" t="e">
        <f>VLOOKUP($B2079,DG!A:D,DG!$D$2,)</f>
        <v>#N/A</v>
      </c>
      <c r="H2079" s="1709"/>
      <c r="I2079" s="1188">
        <f t="shared" si="84"/>
        <v>0</v>
      </c>
      <c r="J2079" s="1010"/>
      <c r="K2079" s="1010"/>
      <c r="L2079" s="1039"/>
      <c r="M2079" s="930">
        <v>560</v>
      </c>
    </row>
    <row r="2080" spans="1:13" s="1012" customFormat="1" ht="25.2"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2"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2"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2"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2"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2"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2"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2"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2"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2"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2" hidden="1" customHeight="1">
      <c r="A2090" s="1082">
        <f t="shared" si="85"/>
        <v>0</v>
      </c>
      <c r="B2090" s="1222" t="s">
        <v>4754</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2" hidden="1" customHeight="1">
      <c r="A2091" s="1082">
        <f t="shared" si="85"/>
        <v>0</v>
      </c>
      <c r="B2091" s="1222" t="s">
        <v>4784</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2"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2"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2"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2"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2"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2"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2"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2"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2"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2"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2"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2" hidden="1" customHeight="1">
      <c r="A2103" s="1082">
        <f t="shared" si="85"/>
        <v>0</v>
      </c>
      <c r="B2103" s="1083" t="s">
        <v>6262</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2"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2"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2"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2"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2"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2"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2"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2"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2"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2"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2"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2"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2"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2"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2"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2"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2"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2"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2"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2"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2"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2"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2"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2"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2"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2"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2"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2"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2"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2"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2"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2"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2"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2"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2"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2"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2"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2"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2"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2"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2"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2" hidden="1" customHeight="1">
      <c r="A2147" s="1082">
        <f t="shared" si="89"/>
        <v>0</v>
      </c>
      <c r="B2147" s="1083"/>
      <c r="C2147" s="2830"/>
      <c r="D2147" s="1071"/>
      <c r="F2147" s="1072"/>
      <c r="H2147" s="1731"/>
      <c r="I2147" s="1188">
        <f t="shared" si="88"/>
        <v>0</v>
      </c>
      <c r="M2147" s="930"/>
    </row>
    <row r="2148" spans="1:13" s="1012" customFormat="1" ht="25.2"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2"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2"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2"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2" hidden="1" customHeight="1">
      <c r="A2152" s="1082">
        <f t="shared" si="89"/>
        <v>0</v>
      </c>
      <c r="B2152" s="1223" t="s">
        <v>4503</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2"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2"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2"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2" hidden="1" customHeight="1">
      <c r="A2156" s="1082">
        <f t="shared" si="89"/>
        <v>0</v>
      </c>
      <c r="B2156" s="1223" t="s">
        <v>4502</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2" hidden="1" customHeight="1">
      <c r="A2157" s="1082">
        <f t="shared" si="89"/>
        <v>0</v>
      </c>
      <c r="B2157" s="1223" t="s">
        <v>4500</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2"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2"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2"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2"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2"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2"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2"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2"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2"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2"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2"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2"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2"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2"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2"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2"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2"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2"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2"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2"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2"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2"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2"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2"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2"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2"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2"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2"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2"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2"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2"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2"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2"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2"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2"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2"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2"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2"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2"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2"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2"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2"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2"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2"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2"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2"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2"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2"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2"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2"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2"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2"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2"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2"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2"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2"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2"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2"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2"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2"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2"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2"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2"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2"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2"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2"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2"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2"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2"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2"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2"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2"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2"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2"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2"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2"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2"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2"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2"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2"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2"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2" hidden="1" customHeight="1">
      <c r="A2250" s="1082">
        <f t="shared" si="92"/>
        <v>0</v>
      </c>
      <c r="B2250" s="1222" t="s">
        <v>4412</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2"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2"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2"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2"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2" hidden="1" customHeight="1">
      <c r="A2256" s="1082">
        <f t="shared" si="92"/>
        <v>0</v>
      </c>
      <c r="B2256" s="1222" t="s">
        <v>4412</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2"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2"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2"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2"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2"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2"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2"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2"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2"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2" hidden="1" customHeight="1">
      <c r="A2268" s="1082">
        <f t="shared" si="94"/>
        <v>0</v>
      </c>
      <c r="B2268" s="1222" t="s">
        <v>4412</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2"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2"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2"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2"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2"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2"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2"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2"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2"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2"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2"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2"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2"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2"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2"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2"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2"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2"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2"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2"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2"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2"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2"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2"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2"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2"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2"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2"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2"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2"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2"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2"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2"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2"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2"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2"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2"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2"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2"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2" hidden="1" customHeight="1">
      <c r="A2311" s="1082">
        <f t="shared" si="94"/>
        <v>0</v>
      </c>
      <c r="B2311" s="1083" t="s">
        <v>235</v>
      </c>
      <c r="C2311" s="2830"/>
      <c r="D2311" s="1019"/>
      <c r="E2311" s="1008" t="e">
        <f>VLOOKUP($B2311,DG!A:D,DG!$B$2,)</f>
        <v>#N/A</v>
      </c>
      <c r="F2311" s="1009" t="e">
        <f>VLOOKUP($B2311,DG!A:D,DG!$C$2,)</f>
        <v>#N/A</v>
      </c>
      <c r="G2311" s="1008" t="e">
        <f>VLOOKUP($B2311,DG!A:D,DG!$D$2,)</f>
        <v>#N/A</v>
      </c>
      <c r="H2311" s="1709"/>
      <c r="I2311" s="1188">
        <f t="shared" si="95"/>
        <v>0</v>
      </c>
      <c r="J2311" s="1010"/>
      <c r="K2311" s="1010"/>
      <c r="L2311" s="1039"/>
      <c r="M2311" s="930">
        <v>630</v>
      </c>
    </row>
    <row r="2312" spans="1:13" s="1012" customFormat="1" ht="25.2"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2"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2"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2"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2"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2"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2"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2"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2"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2"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2"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2"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2"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2"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2"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2"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2"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2"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2"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2"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2"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2"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2"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2"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2"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2"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2"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2"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2"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2"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2"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2"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2"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2"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2"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2"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2"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2"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2"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2"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2"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2"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2"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2"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2"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2"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2"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2"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2"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2"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2"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2"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2"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2"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2"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2"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2"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2"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2" hidden="1" customHeight="1">
      <c r="A2372" s="1082">
        <f t="shared" si="96"/>
        <v>0</v>
      </c>
      <c r="B2372" s="1083"/>
      <c r="C2372" s="2830"/>
      <c r="D2372" s="1071"/>
      <c r="F2372" s="1072"/>
      <c r="H2372" s="1731"/>
      <c r="I2372" s="1188">
        <f t="shared" si="97"/>
        <v>0</v>
      </c>
      <c r="M2372" s="930"/>
    </row>
    <row r="2373" spans="1:13" s="1012" customFormat="1" ht="25.2"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2"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2" customHeight="1">
      <c r="A2375" s="1082">
        <f t="shared" si="96"/>
        <v>1</v>
      </c>
      <c r="B2375" s="2813" t="s">
        <v>4504</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2"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2"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2"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2"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2"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2" hidden="1" customHeight="1">
      <c r="A2381" s="1082">
        <f t="shared" ref="A2381" si="101">IF(AND(M2381=$M$23,I2381&gt;0),1,0)</f>
        <v>0</v>
      </c>
      <c r="B2381" s="2813" t="s">
        <v>6274</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2" customHeight="1">
      <c r="A2382" s="1082">
        <f t="shared" si="96"/>
        <v>1</v>
      </c>
      <c r="B2382" s="2813" t="s">
        <v>6454</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2"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2"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2"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2" customHeight="1">
      <c r="A2386" s="1082">
        <f t="shared" si="96"/>
        <v>1</v>
      </c>
      <c r="B2386" s="2813" t="s">
        <v>4500</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2"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2"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2"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2"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2"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2"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2"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2"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2"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2"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2"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2"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2"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2"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2"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2"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2"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2"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2"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2"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2"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2"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2"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2"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2"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2"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2"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2"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2" customHeight="1">
      <c r="A2416" s="1082">
        <f t="shared" si="102"/>
        <v>1</v>
      </c>
      <c r="B2416" s="1217"/>
      <c r="C2416" s="2826"/>
      <c r="D2416" s="2923">
        <f>IF(H2416&gt;0,D2409+1,D2409)</f>
        <v>1</v>
      </c>
      <c r="E2416" s="2924"/>
      <c r="F2416" s="2925" t="s">
        <v>6455</v>
      </c>
      <c r="G2416" s="2923" t="s">
        <v>2385</v>
      </c>
      <c r="H2416" s="2926">
        <v>1</v>
      </c>
      <c r="I2416" s="2926">
        <f t="shared" si="97"/>
        <v>1</v>
      </c>
      <c r="J2416" s="2926"/>
      <c r="K2416" s="2926"/>
      <c r="L2416" s="2785"/>
      <c r="M2416" s="930">
        <v>1000</v>
      </c>
    </row>
    <row r="2417" spans="1:13" s="1012" customFormat="1" ht="25.2"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2" customHeight="1">
      <c r="A2418" s="1082">
        <f t="shared" ref="A2418" si="103">IF(AND(M2418=$M$23,I2418&gt;0),1,0)</f>
        <v>1</v>
      </c>
      <c r="B2418" s="2818" t="s">
        <v>4326</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2"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2"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2"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2"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2"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2"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2"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2"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2"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2"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2"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2"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2"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2"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2"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2" customHeight="1">
      <c r="A2434" s="1082">
        <f t="shared" si="102"/>
        <v>1</v>
      </c>
      <c r="B2434" s="1217" t="s">
        <v>6401</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2" customHeight="1">
      <c r="A2435" s="1082">
        <f t="shared" si="102"/>
        <v>1</v>
      </c>
      <c r="B2435" s="1217" t="s">
        <v>6458</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2"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2"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2"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2"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2"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2"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2"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2"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2"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2"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2"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2"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2"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2"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2" customHeight="1">
      <c r="A2450" s="1082">
        <f t="shared" si="102"/>
        <v>1</v>
      </c>
      <c r="B2450" s="1217"/>
      <c r="C2450" s="2826"/>
      <c r="D2450" s="2923">
        <f>IF(H2450&gt;0,D2441+1,D2441)</f>
        <v>3</v>
      </c>
      <c r="E2450" s="2924"/>
      <c r="F2450" s="2925" t="s">
        <v>4375</v>
      </c>
      <c r="G2450" s="2923" t="s">
        <v>2385</v>
      </c>
      <c r="H2450" s="2926">
        <v>1</v>
      </c>
      <c r="I2450" s="2926">
        <f t="shared" si="108"/>
        <v>1</v>
      </c>
      <c r="J2450" s="2926"/>
      <c r="K2450" s="2926"/>
      <c r="L2450" s="2785"/>
      <c r="M2450" s="930">
        <v>1000</v>
      </c>
    </row>
    <row r="2451" spans="1:13" s="1012" customFormat="1" ht="25.2"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2"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2"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2"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2"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2"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2"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2"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2"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2"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2"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2"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2"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2"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2"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2"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2"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2"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2"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2"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2"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2"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2"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2" customHeight="1">
      <c r="A2474" s="1082">
        <f t="shared" si="114"/>
        <v>1</v>
      </c>
      <c r="B2474" s="1217"/>
      <c r="C2474" s="2826"/>
      <c r="D2474" s="2923">
        <f>IF(H2474&gt;0,D2450+1,D2450)</f>
        <v>4</v>
      </c>
      <c r="E2474" s="2924"/>
      <c r="F2474" s="2927" t="s">
        <v>6201</v>
      </c>
      <c r="G2474" s="2923" t="s">
        <v>2385</v>
      </c>
      <c r="H2474" s="2926">
        <v>1</v>
      </c>
      <c r="I2474" s="2926">
        <f t="shared" si="116"/>
        <v>1</v>
      </c>
      <c r="J2474" s="2926"/>
      <c r="K2474" s="2926"/>
      <c r="L2474" s="2785"/>
      <c r="M2474" s="930">
        <v>1000</v>
      </c>
    </row>
    <row r="2475" spans="1:13" s="1012" customFormat="1" ht="25.2"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2" customHeight="1">
      <c r="A2476" s="1082">
        <f t="shared" si="114"/>
        <v>1</v>
      </c>
      <c r="B2476" s="2820" t="s">
        <v>5630</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2"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2"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2"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2"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2"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2" hidden="1" customHeight="1">
      <c r="A2482" s="1082">
        <f t="shared" si="114"/>
        <v>0</v>
      </c>
      <c r="B2482" s="2821" t="s">
        <v>4412</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2"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2"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2"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2"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2"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2"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2"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2"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2"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2"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2"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2"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2"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2"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2"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2"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2"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2"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2"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2"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2"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2"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2"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2"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2"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2"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2"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2"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2" customHeight="1">
      <c r="A2513" s="1082">
        <f t="shared" si="114"/>
        <v>1</v>
      </c>
      <c r="B2513" s="2814" t="s">
        <v>4902</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2"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2"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2"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2"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2"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2"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2" customHeight="1">
      <c r="A2520" s="1082">
        <f t="shared" si="125"/>
        <v>1</v>
      </c>
      <c r="B2520" s="2814" t="s">
        <v>6459</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2"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2"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2"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2" customHeight="1">
      <c r="A2524" s="1082">
        <f t="shared" si="126"/>
        <v>1</v>
      </c>
      <c r="B2524" s="2814" t="s">
        <v>6495</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2"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2"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2"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2"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2"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2"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2"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2"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2"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2"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2"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2"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2"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2"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2"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2"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2"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2"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2"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2"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2"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2"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2"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2"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2"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2" customHeight="1">
      <c r="A2550" s="1082">
        <f t="shared" si="131"/>
        <v>1</v>
      </c>
      <c r="B2550" s="1217" t="s">
        <v>6464</v>
      </c>
      <c r="C2550" s="2826"/>
      <c r="D2550" s="2923">
        <f>IF(H2550&gt;0,D2534+1,D2534)</f>
        <v>1</v>
      </c>
      <c r="E2550" s="2924"/>
      <c r="F2550" s="2927" t="s">
        <v>6460</v>
      </c>
      <c r="G2550" s="2923" t="s">
        <v>2385</v>
      </c>
      <c r="H2550" s="2926">
        <v>1</v>
      </c>
      <c r="I2550" s="2926">
        <f t="shared" ref="I2550" si="132">IF(M2550=$M$23,H2550+J2550-K2550,0)</f>
        <v>1</v>
      </c>
      <c r="J2550" s="2926"/>
      <c r="K2550" s="2926"/>
      <c r="L2550" s="2785"/>
      <c r="M2550" s="930">
        <v>1000</v>
      </c>
    </row>
    <row r="2551" spans="1:13" s="1012" customFormat="1" ht="25.2"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2"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2"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2" customHeight="1">
      <c r="A2554" s="1082">
        <f t="shared" si="134"/>
        <v>1</v>
      </c>
      <c r="B2554" s="1217" t="s">
        <v>6235</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2" customHeight="1">
      <c r="A2555" s="1082">
        <f t="shared" si="134"/>
        <v>1</v>
      </c>
      <c r="B2555" s="1217" t="s">
        <v>5481</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2"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2"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2"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2"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2"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2" customHeight="1">
      <c r="A2561" s="1082">
        <f t="shared" ref="A2561:A2577" si="137">IF(AND(M2561=$M$23,I2561&gt;0),1,0)</f>
        <v>1</v>
      </c>
      <c r="B2561" s="1217"/>
      <c r="C2561" s="2826"/>
      <c r="D2561" s="2923">
        <f>IF(H2561&gt;0,D2545+1,D2545)</f>
        <v>1</v>
      </c>
      <c r="E2561" s="2924"/>
      <c r="F2561" s="2927" t="s">
        <v>6236</v>
      </c>
      <c r="G2561" s="2923" t="s">
        <v>2385</v>
      </c>
      <c r="H2561" s="2926">
        <v>1</v>
      </c>
      <c r="I2561" s="2926">
        <f t="shared" ref="I2561" si="138">IF(M2561=$M$23,H2561+J2561-K2561,0)</f>
        <v>1</v>
      </c>
      <c r="J2561" s="2926"/>
      <c r="K2561" s="2926"/>
      <c r="L2561" s="2785"/>
      <c r="M2561" s="930">
        <v>1000</v>
      </c>
    </row>
    <row r="2562" spans="1:13" s="1012" customFormat="1" ht="25.2"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2" customHeight="1">
      <c r="A2563" s="1082">
        <f t="shared" si="137"/>
        <v>1</v>
      </c>
      <c r="B2563" s="1217" t="s">
        <v>5298</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2" customHeight="1">
      <c r="A2564" s="1082">
        <f t="shared" si="137"/>
        <v>1</v>
      </c>
      <c r="B2564" s="1217" t="s">
        <v>5360</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2" customHeight="1">
      <c r="A2565" s="1082">
        <f t="shared" si="137"/>
        <v>1</v>
      </c>
      <c r="B2565" s="1217" t="s">
        <v>5160</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2" customHeight="1">
      <c r="A2566" s="1082">
        <f t="shared" si="137"/>
        <v>1</v>
      </c>
      <c r="B2566" s="1217" t="s">
        <v>5162</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2"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2" customHeight="1">
      <c r="A2568" s="1082">
        <f t="shared" si="137"/>
        <v>1</v>
      </c>
      <c r="B2568" s="1217" t="s">
        <v>6237</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2"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2" customHeight="1">
      <c r="A2570" s="1082">
        <f t="shared" si="137"/>
        <v>1</v>
      </c>
      <c r="B2570" s="1217" t="s">
        <v>5054</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2" customHeight="1">
      <c r="A2571" s="1082">
        <f t="shared" ref="A2571:A2576" si="142">IF(AND(M2571=$M$23,I2571&gt;0),1,0)</f>
        <v>1</v>
      </c>
      <c r="B2571" s="1217" t="s">
        <v>6235</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2"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2" customHeight="1">
      <c r="A2573" s="1082">
        <f t="shared" si="142"/>
        <v>1</v>
      </c>
      <c r="B2573" s="1217" t="s">
        <v>5483</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2"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2"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2"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2" customHeight="1">
      <c r="A2577" s="1082">
        <f t="shared" si="137"/>
        <v>1</v>
      </c>
      <c r="B2577" s="1217" t="s">
        <v>5476</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2"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2"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2"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2" hidden="1" customHeight="1">
      <c r="A2581" s="1082">
        <f t="shared" si="131"/>
        <v>0</v>
      </c>
      <c r="B2581" s="1217" t="s">
        <v>6246</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2" customHeight="1">
      <c r="A2582" s="1082">
        <f t="shared" si="131"/>
        <v>1</v>
      </c>
      <c r="B2582" s="1217" t="s">
        <v>6247</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2"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2" customHeight="1">
      <c r="A2584" s="1082">
        <f t="shared" si="131"/>
        <v>1</v>
      </c>
      <c r="B2584" s="1217" t="s">
        <v>5730</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2"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2"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2"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2"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2"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2"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2" customHeight="1">
      <c r="A2591" s="1082">
        <f t="shared" si="131"/>
        <v>1</v>
      </c>
      <c r="B2591" s="1217" t="s">
        <v>6461</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2"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2"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2" customHeight="1">
      <c r="A2594" s="1082">
        <f t="shared" si="131"/>
        <v>1</v>
      </c>
      <c r="B2594" s="2814" t="s">
        <v>5805</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2" customHeight="1">
      <c r="A2595" s="1082">
        <f t="shared" si="131"/>
        <v>1</v>
      </c>
      <c r="B2595" s="2814" t="s">
        <v>5809</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2"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2"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2"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2"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2"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2" hidden="1" customHeight="1">
      <c r="A2601" s="1082">
        <f t="shared" si="131"/>
        <v>0</v>
      </c>
      <c r="B2601" s="2814" t="s">
        <v>6247</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2"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2"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2"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2" hidden="1" customHeight="1">
      <c r="A2605" s="1082">
        <f t="shared" si="131"/>
        <v>0</v>
      </c>
      <c r="B2605" s="1083" t="s">
        <v>1413</v>
      </c>
      <c r="C2605" s="2830"/>
      <c r="D2605" s="2745">
        <f>IF(H2605&gt;0,1,0)</f>
        <v>1</v>
      </c>
      <c r="E2605" s="2746" t="s">
        <v>5590</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2" hidden="1" customHeight="1">
      <c r="A2606" s="1082">
        <f t="shared" si="131"/>
        <v>0</v>
      </c>
      <c r="B2606" s="1083" t="s">
        <v>1652</v>
      </c>
      <c r="C2606" s="2830"/>
      <c r="D2606" s="2745">
        <f>IF(H2606&gt;0,D2605+1,D2605)</f>
        <v>2</v>
      </c>
      <c r="E2606" s="2746" t="s">
        <v>5594</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2" hidden="1" customHeight="1">
      <c r="A2607" s="1082">
        <f t="shared" si="131"/>
        <v>0</v>
      </c>
      <c r="B2607" s="1083" t="s">
        <v>6265</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2" hidden="1" customHeight="1">
      <c r="A2608" s="1082">
        <f t="shared" si="131"/>
        <v>0</v>
      </c>
      <c r="B2608" s="1083" t="s">
        <v>1373</v>
      </c>
      <c r="C2608" s="2830"/>
      <c r="D2608" s="2745">
        <f>IF(H2608&gt;0,D2607+1,D2607)</f>
        <v>4</v>
      </c>
      <c r="E2608" s="2746" t="s">
        <v>5598</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2" hidden="1" customHeight="1">
      <c r="A2609" s="1082">
        <f t="shared" si="131"/>
        <v>0</v>
      </c>
      <c r="B2609" s="1083" t="s">
        <v>6266</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2" hidden="1" customHeight="1">
      <c r="A2610" s="1082">
        <f t="shared" si="131"/>
        <v>0</v>
      </c>
      <c r="B2610" s="1083" t="s">
        <v>710</v>
      </c>
      <c r="C2610" s="2830"/>
      <c r="D2610" s="2745">
        <f>IF(H2610&gt;0,D2608+1,D2608)</f>
        <v>4</v>
      </c>
      <c r="E2610" s="2746">
        <v>0</v>
      </c>
      <c r="F2610" s="2747" t="s">
        <v>5678</v>
      </c>
      <c r="G2610" s="2746" t="s">
        <v>2555</v>
      </c>
      <c r="H2610" s="2748"/>
      <c r="I2610" s="2659">
        <f t="shared" si="147"/>
        <v>0</v>
      </c>
      <c r="J2610" s="1065"/>
      <c r="K2610" s="1065"/>
      <c r="L2610" s="1065"/>
      <c r="M2610" s="930">
        <v>1250</v>
      </c>
    </row>
    <row r="2611" spans="1:13" s="1012" customFormat="1" ht="25.2" hidden="1" customHeight="1">
      <c r="A2611" s="1082">
        <f t="shared" si="131"/>
        <v>0</v>
      </c>
      <c r="B2611" s="1083" t="s">
        <v>710</v>
      </c>
      <c r="C2611" s="2830"/>
      <c r="D2611" s="2745">
        <f t="shared" ref="D2611:D2617" si="148">IF(H2611&gt;0,D2609+1,D2609)</f>
        <v>5</v>
      </c>
      <c r="E2611" s="2746">
        <v>0</v>
      </c>
      <c r="F2611" s="2747" t="s">
        <v>5678</v>
      </c>
      <c r="G2611" s="2746" t="s">
        <v>2555</v>
      </c>
      <c r="H2611" s="2748">
        <f>+H2605*1*0</f>
        <v>0</v>
      </c>
      <c r="I2611" s="2659">
        <f t="shared" si="147"/>
        <v>0</v>
      </c>
      <c r="J2611" s="1065"/>
      <c r="K2611" s="1065"/>
      <c r="L2611" s="1065"/>
      <c r="M2611" s="930">
        <v>1250</v>
      </c>
    </row>
    <row r="2612" spans="1:13" s="1012" customFormat="1" ht="25.2"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2" hidden="1" customHeight="1">
      <c r="A2613" s="1082">
        <f t="shared" si="131"/>
        <v>0</v>
      </c>
      <c r="B2613" s="1083" t="s">
        <v>936</v>
      </c>
      <c r="C2613" s="2830"/>
      <c r="D2613" s="2745">
        <f t="shared" si="148"/>
        <v>5</v>
      </c>
      <c r="E2613" s="2746">
        <v>0</v>
      </c>
      <c r="F2613" s="2747" t="s">
        <v>5675</v>
      </c>
      <c r="G2613" s="2746" t="s">
        <v>2555</v>
      </c>
      <c r="H2613" s="2748"/>
      <c r="I2613" s="2659">
        <f t="shared" si="147"/>
        <v>0</v>
      </c>
      <c r="J2613" s="1065"/>
      <c r="K2613" s="1065"/>
      <c r="L2613" s="1065"/>
      <c r="M2613" s="930">
        <v>1250</v>
      </c>
    </row>
    <row r="2614" spans="1:13" s="1012" customFormat="1" ht="25.2" hidden="1" customHeight="1">
      <c r="A2614" s="1082">
        <f t="shared" si="131"/>
        <v>0</v>
      </c>
      <c r="B2614" s="1083" t="s">
        <v>6267</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2"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2"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2"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2"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2"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2" hidden="1" customHeight="1">
      <c r="A2620" s="1082">
        <f t="shared" si="131"/>
        <v>0</v>
      </c>
      <c r="B2620" s="1083"/>
      <c r="C2620" s="2830"/>
      <c r="D2620" s="2750">
        <f>IF(H2620&gt;0,1,0)</f>
        <v>0</v>
      </c>
      <c r="E2620" s="2746"/>
      <c r="F2620" s="2752" t="s">
        <v>6114</v>
      </c>
      <c r="G2620" s="2753" t="s">
        <v>2277</v>
      </c>
      <c r="H2620" s="2754"/>
      <c r="I2620" s="2659">
        <f t="shared" si="147"/>
        <v>0</v>
      </c>
      <c r="J2620" s="1065"/>
      <c r="K2620" s="1065"/>
      <c r="L2620" s="1065"/>
      <c r="M2620" s="930">
        <v>1250</v>
      </c>
    </row>
    <row r="2621" spans="1:13" s="1012" customFormat="1" ht="25.2" hidden="1" customHeight="1">
      <c r="A2621" s="1082">
        <f t="shared" si="131"/>
        <v>0</v>
      </c>
      <c r="B2621" s="1083" t="s">
        <v>5271</v>
      </c>
      <c r="C2621" s="2830"/>
      <c r="D2621" s="2755"/>
      <c r="E2621" s="2746"/>
      <c r="F2621" s="2756" t="s">
        <v>5272</v>
      </c>
      <c r="G2621" s="2746" t="s">
        <v>2831</v>
      </c>
      <c r="H2621" s="2757">
        <f>H2620</f>
        <v>0</v>
      </c>
      <c r="I2621" s="2659">
        <f t="shared" si="147"/>
        <v>0</v>
      </c>
      <c r="J2621" s="1065"/>
      <c r="K2621" s="1065"/>
      <c r="L2621" s="1065"/>
      <c r="M2621" s="930">
        <v>1250</v>
      </c>
    </row>
    <row r="2622" spans="1:13" s="1012" customFormat="1" ht="25.2"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2"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2" hidden="1" customHeight="1">
      <c r="A2624" s="1082">
        <f t="shared" si="131"/>
        <v>0</v>
      </c>
      <c r="B2624" s="1083"/>
      <c r="C2624" s="2830"/>
      <c r="D2624" s="2750">
        <f>IF(H2624&gt;0,1,0)</f>
        <v>0</v>
      </c>
      <c r="E2624" s="2746"/>
      <c r="F2624" s="2752" t="s">
        <v>6209</v>
      </c>
      <c r="G2624" s="2753" t="s">
        <v>2277</v>
      </c>
      <c r="H2624" s="2754"/>
      <c r="I2624" s="2659">
        <f t="shared" si="147"/>
        <v>0</v>
      </c>
      <c r="J2624" s="1065"/>
      <c r="K2624" s="1065"/>
      <c r="L2624" s="1065"/>
      <c r="M2624" s="930">
        <v>1250</v>
      </c>
    </row>
    <row r="2625" spans="1:13" s="1012" customFormat="1" ht="25.2"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2"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2"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2"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2" hidden="1" customHeight="1">
      <c r="A2629" s="1082">
        <f t="shared" ref="A2629:A2692" si="149">IF(AND(M2629=$M$23,I2629&gt;0),1,0)</f>
        <v>0</v>
      </c>
      <c r="B2629" s="1083" t="s">
        <v>751</v>
      </c>
      <c r="C2629" s="2830"/>
      <c r="D2629" s="2755"/>
      <c r="E2629" s="2746">
        <v>0</v>
      </c>
      <c r="F2629" s="2756" t="s">
        <v>5285</v>
      </c>
      <c r="G2629" s="2746" t="s">
        <v>2248</v>
      </c>
      <c r="H2629" s="2757">
        <f>H2628*504</f>
        <v>0</v>
      </c>
      <c r="I2629" s="2659">
        <f t="shared" si="147"/>
        <v>0</v>
      </c>
      <c r="J2629" s="1065"/>
      <c r="K2629" s="1065"/>
      <c r="L2629" s="1065"/>
      <c r="M2629" s="930">
        <v>1250</v>
      </c>
    </row>
    <row r="2630" spans="1:13" s="1012" customFormat="1" ht="25.2"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2"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2" hidden="1" customHeight="1">
      <c r="A2632" s="1082">
        <f t="shared" si="149"/>
        <v>0</v>
      </c>
      <c r="B2632" s="1083" t="s">
        <v>6094</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2" hidden="1" customHeight="1">
      <c r="A2633" s="1082">
        <f t="shared" si="149"/>
        <v>0</v>
      </c>
      <c r="B2633" s="1083" t="s">
        <v>4833</v>
      </c>
      <c r="C2633" s="2830"/>
      <c r="D2633" s="2755"/>
      <c r="E2633" s="2746"/>
      <c r="F2633" s="2756" t="s">
        <v>4638</v>
      </c>
      <c r="G2633" s="2746" t="s">
        <v>2439</v>
      </c>
      <c r="H2633" s="2757">
        <f>H2628</f>
        <v>0</v>
      </c>
      <c r="I2633" s="2659">
        <f t="shared" si="147"/>
        <v>0</v>
      </c>
      <c r="J2633" s="1065"/>
      <c r="K2633" s="1065"/>
      <c r="L2633" s="1065"/>
      <c r="M2633" s="930">
        <v>1250</v>
      </c>
    </row>
    <row r="2634" spans="1:13" s="1012" customFormat="1" ht="25.2" hidden="1" customHeight="1">
      <c r="A2634" s="1082">
        <f t="shared" si="149"/>
        <v>0</v>
      </c>
      <c r="B2634" s="1083" t="s">
        <v>5317</v>
      </c>
      <c r="C2634" s="2830"/>
      <c r="D2634" s="2755"/>
      <c r="E2634" s="2746"/>
      <c r="F2634" s="2756" t="s">
        <v>5319</v>
      </c>
      <c r="G2634" s="2746" t="s">
        <v>856</v>
      </c>
      <c r="H2634" s="2757">
        <f>H2628*1.93</f>
        <v>0</v>
      </c>
      <c r="I2634" s="2659">
        <f t="shared" si="147"/>
        <v>0</v>
      </c>
      <c r="J2634" s="1065"/>
      <c r="K2634" s="1065"/>
      <c r="L2634" s="1065"/>
      <c r="M2634" s="930">
        <v>1250</v>
      </c>
    </row>
    <row r="2635" spans="1:13" s="1012" customFormat="1" ht="25.2" hidden="1" customHeight="1">
      <c r="A2635" s="1082">
        <f t="shared" si="149"/>
        <v>0</v>
      </c>
      <c r="B2635" s="1083" t="s">
        <v>1835</v>
      </c>
      <c r="C2635" s="2830"/>
      <c r="D2635" s="2755"/>
      <c r="E2635" s="2746"/>
      <c r="F2635" s="2756" t="s">
        <v>5469</v>
      </c>
      <c r="G2635" s="2746" t="s">
        <v>856</v>
      </c>
      <c r="H2635" s="2757">
        <f>H2628*1.704</f>
        <v>0</v>
      </c>
      <c r="I2635" s="2659">
        <f t="shared" si="147"/>
        <v>0</v>
      </c>
      <c r="J2635" s="1065"/>
      <c r="K2635" s="1065"/>
      <c r="L2635" s="1065"/>
      <c r="M2635" s="930">
        <v>1250</v>
      </c>
    </row>
    <row r="2636" spans="1:13" s="1012" customFormat="1" ht="25.2"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2" hidden="1" customHeight="1">
      <c r="A2637" s="1082">
        <f t="shared" si="149"/>
        <v>0</v>
      </c>
      <c r="B2637" s="1083" t="s">
        <v>636</v>
      </c>
      <c r="C2637" s="2830"/>
      <c r="D2637" s="2755"/>
      <c r="E2637" s="2746" t="s">
        <v>5043</v>
      </c>
      <c r="F2637" s="2756" t="s">
        <v>2607</v>
      </c>
      <c r="G2637" s="2746" t="s">
        <v>2555</v>
      </c>
      <c r="H2637" s="2757">
        <f>H2636</f>
        <v>0</v>
      </c>
      <c r="I2637" s="2659">
        <f t="shared" si="147"/>
        <v>0</v>
      </c>
      <c r="J2637" s="1065"/>
      <c r="K2637" s="1065"/>
      <c r="L2637" s="1065"/>
      <c r="M2637" s="930">
        <v>1250</v>
      </c>
    </row>
    <row r="2638" spans="1:13" s="1012" customFormat="1" ht="25.2" hidden="1" customHeight="1">
      <c r="A2638" s="1082">
        <f t="shared" si="149"/>
        <v>0</v>
      </c>
      <c r="B2638" s="1083" t="s">
        <v>566</v>
      </c>
      <c r="C2638" s="2830"/>
      <c r="D2638" s="2755"/>
      <c r="E2638" s="2746"/>
      <c r="F2638" s="2756" t="s">
        <v>5068</v>
      </c>
      <c r="G2638" s="2746" t="s">
        <v>2439</v>
      </c>
      <c r="H2638" s="2757">
        <f>H2637</f>
        <v>0</v>
      </c>
      <c r="I2638" s="2659">
        <f t="shared" si="147"/>
        <v>0</v>
      </c>
      <c r="J2638" s="1065"/>
      <c r="K2638" s="1065"/>
      <c r="L2638" s="1065"/>
      <c r="M2638" s="930">
        <v>1250</v>
      </c>
    </row>
    <row r="2639" spans="1:13" s="1012" customFormat="1" ht="25.2" hidden="1" customHeight="1">
      <c r="A2639" s="1082">
        <f t="shared" si="149"/>
        <v>0</v>
      </c>
      <c r="B2639" s="1083" t="s">
        <v>639</v>
      </c>
      <c r="C2639" s="2830"/>
      <c r="D2639" s="2755"/>
      <c r="E2639" s="2746" t="s">
        <v>1747</v>
      </c>
      <c r="F2639" s="2756" t="s">
        <v>5320</v>
      </c>
      <c r="G2639" s="2746" t="s">
        <v>856</v>
      </c>
      <c r="H2639" s="2757">
        <f>1.48*H2637</f>
        <v>0</v>
      </c>
      <c r="I2639" s="2659">
        <f t="shared" si="147"/>
        <v>0</v>
      </c>
      <c r="J2639" s="1065"/>
      <c r="K2639" s="1065"/>
      <c r="L2639" s="1065"/>
      <c r="M2639" s="930">
        <v>1250</v>
      </c>
    </row>
    <row r="2640" spans="1:13" s="1012" customFormat="1" ht="25.2" hidden="1" customHeight="1">
      <c r="A2640" s="1082">
        <f t="shared" si="149"/>
        <v>0</v>
      </c>
      <c r="B2640" s="1083" t="s">
        <v>21</v>
      </c>
      <c r="C2640" s="2830"/>
      <c r="D2640" s="2755"/>
      <c r="E2640" s="2746" t="s">
        <v>5321</v>
      </c>
      <c r="F2640" s="2756" t="s">
        <v>5322</v>
      </c>
      <c r="G2640" s="2746" t="s">
        <v>856</v>
      </c>
      <c r="H2640" s="2757">
        <f>1.39*H2636</f>
        <v>0</v>
      </c>
      <c r="I2640" s="2659">
        <f t="shared" si="147"/>
        <v>0</v>
      </c>
      <c r="J2640" s="1065"/>
      <c r="K2640" s="1065"/>
      <c r="L2640" s="1065"/>
      <c r="M2640" s="930">
        <v>1250</v>
      </c>
    </row>
    <row r="2641" spans="1:13" s="1012" customFormat="1" ht="25.2" hidden="1" customHeight="1">
      <c r="A2641" s="1082">
        <f t="shared" si="149"/>
        <v>0</v>
      </c>
      <c r="B2641" s="1083" t="s">
        <v>6406</v>
      </c>
      <c r="C2641" s="2830"/>
      <c r="D2641" s="2760">
        <f>IF(H2641&gt;0,D2636+1,D2636)</f>
        <v>1</v>
      </c>
      <c r="E2641" s="2761"/>
      <c r="F2641" s="2762" t="s">
        <v>6229</v>
      </c>
      <c r="G2641" s="2763" t="s">
        <v>2385</v>
      </c>
      <c r="H2641" s="2764">
        <f>+H2605*1</f>
        <v>1</v>
      </c>
      <c r="I2641" s="2659">
        <f t="shared" si="147"/>
        <v>1</v>
      </c>
      <c r="J2641" s="1065"/>
      <c r="K2641" s="1065"/>
      <c r="L2641" s="1065"/>
      <c r="M2641" s="930">
        <v>1250</v>
      </c>
    </row>
    <row r="2642" spans="1:13" s="1012" customFormat="1" ht="25.2" hidden="1" customHeight="1">
      <c r="A2642" s="1082">
        <f t="shared" si="149"/>
        <v>0</v>
      </c>
      <c r="B2642" s="1083"/>
      <c r="C2642" s="2830"/>
      <c r="D2642" s="2750"/>
      <c r="E2642" s="2765"/>
      <c r="F2642" s="2766" t="s">
        <v>6125</v>
      </c>
      <c r="G2642" s="2745"/>
      <c r="H2642" s="2748"/>
      <c r="I2642" s="2659">
        <f t="shared" si="147"/>
        <v>0</v>
      </c>
      <c r="J2642" s="1065"/>
      <c r="K2642" s="1065"/>
      <c r="L2642" s="1065"/>
      <c r="M2642" s="930">
        <v>1250</v>
      </c>
    </row>
    <row r="2643" spans="1:13" s="1012" customFormat="1" ht="25.2" hidden="1" customHeight="1">
      <c r="A2643" s="1082">
        <f t="shared" si="149"/>
        <v>0</v>
      </c>
      <c r="B2643" s="1083" t="s">
        <v>4326</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2"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2"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2"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2"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2" hidden="1" customHeight="1">
      <c r="A2648" s="1082">
        <f t="shared" si="149"/>
        <v>0</v>
      </c>
      <c r="B2648" s="1083" t="s">
        <v>2242</v>
      </c>
      <c r="C2648" s="2830"/>
      <c r="D2648" s="2750"/>
      <c r="E2648" s="2746" t="s">
        <v>5440</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2" hidden="1" customHeight="1">
      <c r="A2649" s="1082">
        <f t="shared" si="149"/>
        <v>0</v>
      </c>
      <c r="B2649" s="1083" t="s">
        <v>6407</v>
      </c>
      <c r="C2649" s="2830"/>
      <c r="D2649" s="2760">
        <f>IF(H2649&gt;0,D2641+1,D2641)</f>
        <v>2</v>
      </c>
      <c r="E2649" s="2761"/>
      <c r="F2649" s="2762" t="s">
        <v>6268</v>
      </c>
      <c r="G2649" s="2763" t="s">
        <v>2385</v>
      </c>
      <c r="H2649" s="2764">
        <v>2</v>
      </c>
      <c r="I2649" s="2659">
        <f t="shared" si="147"/>
        <v>2</v>
      </c>
      <c r="J2649" s="1065"/>
      <c r="K2649" s="1065"/>
      <c r="L2649" s="1065"/>
      <c r="M2649" s="930">
        <v>1250</v>
      </c>
    </row>
    <row r="2650" spans="1:13" s="1012" customFormat="1" ht="25.2" hidden="1" customHeight="1">
      <c r="A2650" s="1082">
        <f t="shared" si="149"/>
        <v>0</v>
      </c>
      <c r="B2650" s="1083"/>
      <c r="C2650" s="2830"/>
      <c r="D2650" s="2750"/>
      <c r="E2650" s="2765"/>
      <c r="F2650" s="2766" t="s">
        <v>6125</v>
      </c>
      <c r="G2650" s="2745"/>
      <c r="H2650" s="2748"/>
      <c r="I2650" s="2659">
        <f t="shared" si="147"/>
        <v>0</v>
      </c>
      <c r="J2650" s="1065"/>
      <c r="K2650" s="1065"/>
      <c r="L2650" s="1065"/>
      <c r="M2650" s="930">
        <v>1250</v>
      </c>
    </row>
    <row r="2651" spans="1:13" s="1012" customFormat="1" ht="25.2" hidden="1" customHeight="1">
      <c r="A2651" s="1082">
        <f t="shared" si="149"/>
        <v>0</v>
      </c>
      <c r="B2651" s="1083" t="s">
        <v>6401</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2" hidden="1" customHeight="1">
      <c r="A2652" s="1082">
        <f t="shared" si="149"/>
        <v>0</v>
      </c>
      <c r="B2652" s="1083" t="s">
        <v>6400</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2"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2"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2"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2" hidden="1" customHeight="1">
      <c r="A2656" s="1082">
        <f t="shared" si="149"/>
        <v>0</v>
      </c>
      <c r="B2656" s="1083" t="s">
        <v>517</v>
      </c>
      <c r="C2656" s="2830"/>
      <c r="D2656" s="2750"/>
      <c r="E2656" s="2746" t="s">
        <v>5426</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2" hidden="1" customHeight="1">
      <c r="A2657" s="1082">
        <f t="shared" si="149"/>
        <v>0</v>
      </c>
      <c r="B2657" s="1083" t="s">
        <v>6408</v>
      </c>
      <c r="C2657" s="2830"/>
      <c r="D2657" s="2760">
        <f>IF(H2657&gt;0,D2649+1,D2649)</f>
        <v>3</v>
      </c>
      <c r="E2657" s="2761"/>
      <c r="F2657" s="2762" t="s">
        <v>6269</v>
      </c>
      <c r="G2657" s="2763" t="s">
        <v>2385</v>
      </c>
      <c r="H2657" s="2764">
        <f>H2605*1</f>
        <v>1</v>
      </c>
      <c r="I2657" s="2659">
        <f t="shared" si="147"/>
        <v>1</v>
      </c>
      <c r="J2657" s="1065"/>
      <c r="K2657" s="1065"/>
      <c r="L2657" s="1065"/>
      <c r="M2657" s="930">
        <v>1250</v>
      </c>
    </row>
    <row r="2658" spans="1:13" s="1012" customFormat="1" ht="25.2" hidden="1" customHeight="1">
      <c r="A2658" s="1082">
        <f t="shared" si="149"/>
        <v>0</v>
      </c>
      <c r="B2658" s="1083"/>
      <c r="C2658" s="2830"/>
      <c r="D2658" s="2750"/>
      <c r="E2658" s="2765"/>
      <c r="F2658" s="2766" t="s">
        <v>6125</v>
      </c>
      <c r="G2658" s="2745"/>
      <c r="H2658" s="2748"/>
      <c r="I2658" s="2659">
        <f t="shared" si="147"/>
        <v>0</v>
      </c>
      <c r="J2658" s="1065"/>
      <c r="K2658" s="1065"/>
      <c r="L2658" s="1065"/>
      <c r="M2658" s="930">
        <v>1250</v>
      </c>
    </row>
    <row r="2659" spans="1:13" s="1012" customFormat="1" ht="25.2" hidden="1" customHeight="1">
      <c r="A2659" s="1082">
        <f t="shared" si="149"/>
        <v>0</v>
      </c>
      <c r="B2659" s="1083" t="s">
        <v>6399</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2" hidden="1" customHeight="1">
      <c r="A2660" s="1082">
        <f t="shared" si="149"/>
        <v>0</v>
      </c>
      <c r="B2660" s="1083" t="s">
        <v>6400</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2"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2"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2"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2" hidden="1" customHeight="1">
      <c r="A2664" s="1082">
        <f t="shared" si="149"/>
        <v>0</v>
      </c>
      <c r="B2664" s="1083" t="s">
        <v>988</v>
      </c>
      <c r="C2664" s="2830"/>
      <c r="D2664" s="2750"/>
      <c r="E2664" s="2746">
        <v>0</v>
      </c>
      <c r="F2664" s="2747" t="s">
        <v>5266</v>
      </c>
      <c r="G2664" s="2746" t="s">
        <v>2385</v>
      </c>
      <c r="H2664" s="2748"/>
      <c r="I2664" s="2659">
        <f t="shared" si="147"/>
        <v>0</v>
      </c>
      <c r="J2664" s="1065"/>
      <c r="K2664" s="1065"/>
      <c r="L2664" s="1065"/>
      <c r="M2664" s="930">
        <v>1250</v>
      </c>
    </row>
    <row r="2665" spans="1:13" s="1012" customFormat="1" ht="25.2" hidden="1" customHeight="1">
      <c r="A2665" s="1082">
        <f t="shared" si="149"/>
        <v>0</v>
      </c>
      <c r="B2665" s="1083" t="s">
        <v>1440</v>
      </c>
      <c r="C2665" s="2830"/>
      <c r="D2665" s="2750"/>
      <c r="E2665" s="2746" t="s">
        <v>5417</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2"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2" hidden="1" customHeight="1">
      <c r="A2667" s="1082">
        <f t="shared" si="149"/>
        <v>0</v>
      </c>
      <c r="B2667" s="1083"/>
      <c r="C2667" s="2830"/>
      <c r="D2667" s="2750"/>
      <c r="E2667" s="2765"/>
      <c r="F2667" s="2766" t="s">
        <v>6125</v>
      </c>
      <c r="G2667" s="2745"/>
      <c r="H2667" s="2748"/>
      <c r="I2667" s="2659">
        <f t="shared" si="147"/>
        <v>0</v>
      </c>
      <c r="J2667" s="1065"/>
      <c r="K2667" s="1065"/>
      <c r="L2667" s="1065"/>
      <c r="M2667" s="930">
        <v>1250</v>
      </c>
    </row>
    <row r="2668" spans="1:13" s="1012" customFormat="1" ht="25.2"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2" hidden="1" customHeight="1">
      <c r="A2669" s="1082">
        <f t="shared" si="149"/>
        <v>0</v>
      </c>
      <c r="B2669" s="1083" t="s">
        <v>1508</v>
      </c>
      <c r="C2669" s="2830"/>
      <c r="D2669" s="2750"/>
      <c r="E2669" s="2746">
        <v>0</v>
      </c>
      <c r="F2669" s="2747" t="s">
        <v>5159</v>
      </c>
      <c r="G2669" s="2746" t="s">
        <v>2439</v>
      </c>
      <c r="H2669" s="2748">
        <f>($I$2+H2674)*H2666</f>
        <v>9</v>
      </c>
      <c r="I2669" s="2659">
        <f t="shared" si="147"/>
        <v>9</v>
      </c>
      <c r="J2669" s="1065"/>
      <c r="K2669" s="1065"/>
      <c r="L2669" s="1065"/>
      <c r="M2669" s="930">
        <v>1250</v>
      </c>
    </row>
    <row r="2670" spans="1:13" s="1012" customFormat="1" ht="25.2"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2"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2"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2" hidden="1" customHeight="1">
      <c r="A2673" s="1082">
        <f t="shared" si="149"/>
        <v>0</v>
      </c>
      <c r="B2673" s="1083" t="s">
        <v>525</v>
      </c>
      <c r="C2673" s="2830"/>
      <c r="D2673" s="2750"/>
      <c r="E2673" s="2746">
        <v>0</v>
      </c>
      <c r="F2673" s="2747" t="s">
        <v>5248</v>
      </c>
      <c r="G2673" s="2746" t="s">
        <v>2439</v>
      </c>
      <c r="H2673" s="2748">
        <f>+H2666*2*0</f>
        <v>0</v>
      </c>
      <c r="I2673" s="2659">
        <f t="shared" si="154"/>
        <v>0</v>
      </c>
      <c r="J2673" s="1065"/>
      <c r="K2673" s="1065"/>
      <c r="L2673" s="1065"/>
      <c r="M2673" s="930">
        <v>1250</v>
      </c>
    </row>
    <row r="2674" spans="1:13" s="1012" customFormat="1" ht="25.2" hidden="1" customHeight="1">
      <c r="A2674" s="1082">
        <f t="shared" si="149"/>
        <v>0</v>
      </c>
      <c r="B2674" s="1083" t="s">
        <v>1585</v>
      </c>
      <c r="C2674" s="2830"/>
      <c r="D2674" s="2750"/>
      <c r="E2674" s="2746">
        <v>0</v>
      </c>
      <c r="F2674" s="2747" t="s">
        <v>5709</v>
      </c>
      <c r="G2674" s="2746" t="s">
        <v>3444</v>
      </c>
      <c r="H2674" s="2748">
        <f>$L$3*H2666</f>
        <v>0</v>
      </c>
      <c r="I2674" s="2659">
        <f t="shared" si="154"/>
        <v>0</v>
      </c>
      <c r="J2674" s="1065"/>
      <c r="K2674" s="1065"/>
      <c r="L2674" s="1065"/>
      <c r="M2674" s="930">
        <v>1250</v>
      </c>
    </row>
    <row r="2675" spans="1:13" s="1012" customFormat="1" ht="25.2" hidden="1" customHeight="1">
      <c r="A2675" s="1082">
        <f t="shared" si="149"/>
        <v>0</v>
      </c>
      <c r="B2675" s="1083" t="s">
        <v>794</v>
      </c>
      <c r="C2675" s="2830"/>
      <c r="D2675" s="2745"/>
      <c r="E2675" s="2746" t="s">
        <v>5332</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2" hidden="1" customHeight="1">
      <c r="A2676" s="1082">
        <f t="shared" si="149"/>
        <v>0</v>
      </c>
      <c r="B2676" s="1083" t="s">
        <v>798</v>
      </c>
      <c r="C2676" s="2830"/>
      <c r="D2676" s="2745"/>
      <c r="E2676" s="2746" t="s">
        <v>5321</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2" hidden="1" customHeight="1">
      <c r="A2677" s="1082">
        <f t="shared" si="149"/>
        <v>0</v>
      </c>
      <c r="B2677" s="1083" t="s">
        <v>902</v>
      </c>
      <c r="C2677" s="2830"/>
      <c r="D2677" s="2745"/>
      <c r="E2677" s="2746" t="s">
        <v>5347</v>
      </c>
      <c r="F2677" s="2747" t="s">
        <v>5348</v>
      </c>
      <c r="G2677" s="2746" t="s">
        <v>2278</v>
      </c>
      <c r="H2677" s="2748">
        <f>H2669</f>
        <v>9</v>
      </c>
      <c r="I2677" s="2659">
        <f t="shared" si="154"/>
        <v>9</v>
      </c>
      <c r="J2677" s="1065"/>
      <c r="K2677" s="1065"/>
      <c r="L2677" s="1065"/>
      <c r="M2677" s="930">
        <v>1250</v>
      </c>
    </row>
    <row r="2678" spans="1:13" s="1012" customFormat="1" ht="25.2" hidden="1" customHeight="1">
      <c r="A2678" s="1082">
        <f t="shared" si="149"/>
        <v>0</v>
      </c>
      <c r="B2678" s="1083" t="s">
        <v>6270</v>
      </c>
      <c r="C2678" s="2830"/>
      <c r="D2678" s="2750"/>
      <c r="E2678" s="2746" t="s">
        <v>5341</v>
      </c>
      <c r="F2678" s="2747" t="s">
        <v>3151</v>
      </c>
      <c r="G2678" s="2746" t="s">
        <v>2248</v>
      </c>
      <c r="H2678" s="2748">
        <f>H2668</f>
        <v>11.87</v>
      </c>
      <c r="I2678" s="2659">
        <f t="shared" si="154"/>
        <v>11.87</v>
      </c>
      <c r="J2678" s="1065"/>
      <c r="K2678" s="1065"/>
      <c r="L2678" s="1065"/>
      <c r="M2678" s="930">
        <v>1250</v>
      </c>
    </row>
    <row r="2679" spans="1:13" s="1012" customFormat="1" ht="25.2" hidden="1" customHeight="1">
      <c r="A2679" s="1082">
        <f t="shared" si="149"/>
        <v>0</v>
      </c>
      <c r="B2679" s="1083"/>
      <c r="C2679" s="2830"/>
      <c r="D2679" s="2760">
        <f>IF(H2679&gt;0,D2666+1,D2666)</f>
        <v>5</v>
      </c>
      <c r="E2679" s="2761"/>
      <c r="F2679" s="2762" t="s">
        <v>6201</v>
      </c>
      <c r="G2679" s="2763" t="s">
        <v>2385</v>
      </c>
      <c r="H2679" s="2764">
        <f>H2605</f>
        <v>1</v>
      </c>
      <c r="I2679" s="2659">
        <f t="shared" si="154"/>
        <v>1</v>
      </c>
      <c r="J2679" s="1065"/>
      <c r="K2679" s="1065"/>
      <c r="L2679" s="1065"/>
      <c r="M2679" s="930">
        <v>1250</v>
      </c>
    </row>
    <row r="2680" spans="1:13" s="1012" customFormat="1" ht="25.2" hidden="1" customHeight="1">
      <c r="A2680" s="1082">
        <f t="shared" si="149"/>
        <v>0</v>
      </c>
      <c r="B2680" s="1083"/>
      <c r="C2680" s="2830"/>
      <c r="D2680" s="2750"/>
      <c r="E2680" s="2765"/>
      <c r="F2680" s="2766" t="s">
        <v>6125</v>
      </c>
      <c r="G2680" s="2745"/>
      <c r="H2680" s="2748"/>
      <c r="I2680" s="2659">
        <f t="shared" si="154"/>
        <v>0</v>
      </c>
      <c r="J2680" s="1065"/>
      <c r="K2680" s="1065"/>
      <c r="L2680" s="1065"/>
      <c r="M2680" s="930">
        <v>1250</v>
      </c>
    </row>
    <row r="2681" spans="1:13" s="1012" customFormat="1" ht="25.2" hidden="1" customHeight="1">
      <c r="A2681" s="1082">
        <f t="shared" si="149"/>
        <v>0</v>
      </c>
      <c r="B2681" s="1083" t="s">
        <v>6271</v>
      </c>
      <c r="C2681" s="2830"/>
      <c r="D2681" s="2745"/>
      <c r="E2681" s="2746" t="s">
        <v>5629</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2"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2"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2"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2" hidden="1" customHeight="1">
      <c r="A2685" s="1082">
        <f t="shared" si="149"/>
        <v>0</v>
      </c>
      <c r="B2685" s="1083"/>
      <c r="C2685" s="2830"/>
      <c r="D2685" s="2750"/>
      <c r="E2685" s="2765"/>
      <c r="F2685" s="2766" t="s">
        <v>6125</v>
      </c>
      <c r="G2685" s="2745"/>
      <c r="H2685" s="2748"/>
      <c r="I2685" s="2659">
        <f t="shared" si="154"/>
        <v>0</v>
      </c>
      <c r="J2685" s="1065"/>
      <c r="K2685" s="1065"/>
      <c r="L2685" s="1065"/>
      <c r="M2685" s="930">
        <v>1250</v>
      </c>
    </row>
    <row r="2686" spans="1:13" s="1012" customFormat="1" ht="25.2" hidden="1" customHeight="1">
      <c r="A2686" s="1082">
        <f t="shared" si="149"/>
        <v>0</v>
      </c>
      <c r="B2686" s="1083" t="s">
        <v>752</v>
      </c>
      <c r="C2686" s="2830"/>
      <c r="D2686" s="2745"/>
      <c r="E2686" s="2746">
        <v>0</v>
      </c>
      <c r="F2686" s="2768" t="s">
        <v>6367</v>
      </c>
      <c r="G2686" s="2746" t="s">
        <v>856</v>
      </c>
      <c r="H2686" s="2748">
        <f>H2684*0.315</f>
        <v>0</v>
      </c>
      <c r="I2686" s="2659">
        <f t="shared" si="154"/>
        <v>0</v>
      </c>
      <c r="J2686" s="1065"/>
      <c r="K2686" s="1065"/>
      <c r="L2686" s="1065"/>
      <c r="M2686" s="930">
        <v>1250</v>
      </c>
    </row>
    <row r="2687" spans="1:13" s="1012" customFormat="1" ht="25.2" hidden="1" customHeight="1">
      <c r="A2687" s="1082">
        <f t="shared" si="149"/>
        <v>0</v>
      </c>
      <c r="B2687" s="1083" t="s">
        <v>520</v>
      </c>
      <c r="C2687" s="2830"/>
      <c r="D2687" s="2745"/>
      <c r="E2687" s="2746">
        <v>0</v>
      </c>
      <c r="F2687" s="2768" t="s">
        <v>6368</v>
      </c>
      <c r="G2687" s="2746" t="s">
        <v>856</v>
      </c>
      <c r="H2687" s="2748">
        <f>0.092*H2684</f>
        <v>0</v>
      </c>
      <c r="I2687" s="2659">
        <f t="shared" si="154"/>
        <v>0</v>
      </c>
      <c r="J2687" s="1065"/>
      <c r="K2687" s="1065"/>
      <c r="L2687" s="1065"/>
      <c r="M2687" s="930">
        <v>1250</v>
      </c>
    </row>
    <row r="2688" spans="1:13" s="1012" customFormat="1" ht="25.2" hidden="1" customHeight="1">
      <c r="A2688" s="1082">
        <f t="shared" si="149"/>
        <v>0</v>
      </c>
      <c r="B2688" s="1083" t="s">
        <v>1675</v>
      </c>
      <c r="C2688" s="2830"/>
      <c r="D2688" s="2745"/>
      <c r="E2688" s="2746">
        <v>0</v>
      </c>
      <c r="F2688" s="2768" t="s">
        <v>6369</v>
      </c>
      <c r="G2688" s="2746" t="s">
        <v>3006</v>
      </c>
      <c r="H2688" s="2748">
        <f>3.3*H2684</f>
        <v>0</v>
      </c>
      <c r="I2688" s="2659">
        <f t="shared" si="154"/>
        <v>0</v>
      </c>
      <c r="J2688" s="1065"/>
      <c r="K2688" s="1065"/>
      <c r="L2688" s="1065"/>
      <c r="M2688" s="930">
        <v>1250</v>
      </c>
    </row>
    <row r="2689" spans="1:13" s="1012" customFormat="1" ht="25.2" hidden="1" customHeight="1">
      <c r="A2689" s="1082">
        <f t="shared" si="149"/>
        <v>0</v>
      </c>
      <c r="B2689" s="1083" t="s">
        <v>1676</v>
      </c>
      <c r="C2689" s="2830"/>
      <c r="D2689" s="2745"/>
      <c r="E2689" s="2746" t="s">
        <v>5286</v>
      </c>
      <c r="F2689" s="2768" t="s">
        <v>6370</v>
      </c>
      <c r="G2689" s="2746" t="s">
        <v>1960</v>
      </c>
      <c r="H2689" s="2748">
        <f>0.4*H2684</f>
        <v>0</v>
      </c>
      <c r="I2689" s="2659">
        <f t="shared" si="154"/>
        <v>0</v>
      </c>
      <c r="J2689" s="1065"/>
      <c r="K2689" s="1065"/>
      <c r="L2689" s="1065"/>
      <c r="M2689" s="930">
        <v>1250</v>
      </c>
    </row>
    <row r="2690" spans="1:13" s="1012" customFormat="1" ht="25.2"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2" hidden="1" customHeight="1">
      <c r="A2691" s="1082">
        <f t="shared" si="149"/>
        <v>0</v>
      </c>
      <c r="B2691" s="1083" t="s">
        <v>1678</v>
      </c>
      <c r="C2691" s="2830"/>
      <c r="D2691" s="2745"/>
      <c r="E2691" s="2746" t="s">
        <v>5329</v>
      </c>
      <c r="F2691" s="2768" t="s">
        <v>6371</v>
      </c>
      <c r="G2691" s="2746" t="s">
        <v>856</v>
      </c>
      <c r="H2691" s="2748">
        <f>H2686+H2687</f>
        <v>0</v>
      </c>
      <c r="I2691" s="2659">
        <f t="shared" si="154"/>
        <v>0</v>
      </c>
      <c r="J2691" s="1065"/>
      <c r="K2691" s="1065"/>
      <c r="L2691" s="1065"/>
      <c r="M2691" s="930">
        <v>1250</v>
      </c>
    </row>
    <row r="2692" spans="1:13" s="1012" customFormat="1" ht="25.2" hidden="1" customHeight="1">
      <c r="A2692" s="1082">
        <f t="shared" si="149"/>
        <v>0</v>
      </c>
      <c r="B2692" s="1083" t="s">
        <v>144</v>
      </c>
      <c r="C2692" s="2830"/>
      <c r="D2692" s="2745"/>
      <c r="E2692" s="2746" t="s">
        <v>5323</v>
      </c>
      <c r="F2692" s="2768" t="s">
        <v>6372</v>
      </c>
      <c r="G2692" s="2746" t="s">
        <v>856</v>
      </c>
      <c r="H2692" s="2748">
        <f>H2684*0.48</f>
        <v>0</v>
      </c>
      <c r="I2692" s="2659">
        <f t="shared" si="154"/>
        <v>0</v>
      </c>
      <c r="J2692" s="1065"/>
      <c r="K2692" s="1065"/>
      <c r="L2692" s="1065"/>
      <c r="M2692" s="930">
        <v>1250</v>
      </c>
    </row>
    <row r="2693" spans="1:13" s="1012" customFormat="1" ht="25.2" hidden="1" customHeight="1">
      <c r="A2693" s="1082">
        <f t="shared" ref="A2693:A2756" si="155">IF(AND(M2693=$M$23,I2693&gt;0),1,0)</f>
        <v>0</v>
      </c>
      <c r="B2693" s="1083" t="s">
        <v>529</v>
      </c>
      <c r="C2693" s="2830"/>
      <c r="D2693" s="2745"/>
      <c r="E2693" s="2746" t="s">
        <v>5328</v>
      </c>
      <c r="F2693" s="2768" t="s">
        <v>6373</v>
      </c>
      <c r="G2693" s="2746" t="s">
        <v>856</v>
      </c>
      <c r="H2693" s="2748">
        <f>H2684*0.073</f>
        <v>0</v>
      </c>
      <c r="I2693" s="2659">
        <f t="shared" si="154"/>
        <v>0</v>
      </c>
      <c r="J2693" s="1065"/>
      <c r="K2693" s="1065"/>
      <c r="L2693" s="1065"/>
      <c r="M2693" s="930">
        <v>1250</v>
      </c>
    </row>
    <row r="2694" spans="1:13" s="1012" customFormat="1" ht="25.2"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2" hidden="1" customHeight="1">
      <c r="A2695" s="1082">
        <f t="shared" si="155"/>
        <v>0</v>
      </c>
      <c r="B2695" s="1083"/>
      <c r="C2695" s="2830"/>
      <c r="D2695" s="2750"/>
      <c r="E2695" s="2765"/>
      <c r="F2695" s="2766" t="s">
        <v>6125</v>
      </c>
      <c r="G2695" s="2745"/>
      <c r="H2695" s="2748"/>
      <c r="I2695" s="2659">
        <f t="shared" si="154"/>
        <v>0</v>
      </c>
      <c r="J2695" s="1065"/>
      <c r="K2695" s="1065"/>
      <c r="L2695" s="1065"/>
      <c r="M2695" s="930">
        <v>1250</v>
      </c>
    </row>
    <row r="2696" spans="1:13" s="1012" customFormat="1" ht="25.2" hidden="1" customHeight="1">
      <c r="A2696" s="1082">
        <f t="shared" si="155"/>
        <v>0</v>
      </c>
      <c r="B2696" s="1083" t="s">
        <v>623</v>
      </c>
      <c r="C2696" s="2830"/>
      <c r="D2696" s="2745"/>
      <c r="E2696" s="2746" t="s">
        <v>5301</v>
      </c>
      <c r="F2696" s="2747" t="s">
        <v>5302</v>
      </c>
      <c r="G2696" s="2746" t="s">
        <v>2532</v>
      </c>
      <c r="H2696" s="2748">
        <f>H2694*5</f>
        <v>0</v>
      </c>
      <c r="I2696" s="2659">
        <f t="shared" si="154"/>
        <v>0</v>
      </c>
      <c r="J2696" s="1065"/>
      <c r="K2696" s="1065"/>
      <c r="L2696" s="1065"/>
      <c r="M2696" s="930">
        <v>1250</v>
      </c>
    </row>
    <row r="2697" spans="1:13" s="1012" customFormat="1" ht="25.2"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2"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2"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2"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2" hidden="1" customHeight="1">
      <c r="A2701" s="1082">
        <f t="shared" si="155"/>
        <v>0</v>
      </c>
      <c r="B2701" s="1083" t="s">
        <v>1410</v>
      </c>
      <c r="C2701" s="2830"/>
      <c r="D2701" s="2750"/>
      <c r="E2701" s="2746" t="s">
        <v>5337</v>
      </c>
      <c r="F2701" s="2747" t="s">
        <v>5338</v>
      </c>
      <c r="G2701" s="2746" t="s">
        <v>2439</v>
      </c>
      <c r="H2701" s="2748">
        <f>H2699+H2700</f>
        <v>0</v>
      </c>
      <c r="I2701" s="2659">
        <f t="shared" si="154"/>
        <v>0</v>
      </c>
      <c r="J2701" s="1065"/>
      <c r="K2701" s="1065"/>
      <c r="L2701" s="1065"/>
      <c r="M2701" s="930">
        <v>1250</v>
      </c>
    </row>
    <row r="2702" spans="1:13" s="1012" customFormat="1" ht="25.2" hidden="1" customHeight="1">
      <c r="A2702" s="1082">
        <f t="shared" si="155"/>
        <v>0</v>
      </c>
      <c r="B2702" s="1083" t="s">
        <v>289</v>
      </c>
      <c r="C2702" s="2830"/>
      <c r="D2702" s="2745"/>
      <c r="E2702" s="2746">
        <v>0</v>
      </c>
      <c r="F2702" s="2747" t="s">
        <v>5708</v>
      </c>
      <c r="G2702" s="2746" t="s">
        <v>2555</v>
      </c>
      <c r="H2702" s="2748">
        <f>H2694</f>
        <v>0</v>
      </c>
      <c r="I2702" s="2659">
        <f t="shared" si="154"/>
        <v>0</v>
      </c>
      <c r="J2702" s="1065"/>
      <c r="K2702" s="1065"/>
      <c r="L2702" s="1065"/>
      <c r="M2702" s="930">
        <v>1250</v>
      </c>
    </row>
    <row r="2703" spans="1:13" s="1012" customFormat="1" ht="25.2"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2" hidden="1" customHeight="1">
      <c r="A2704" s="1082">
        <f t="shared" si="155"/>
        <v>0</v>
      </c>
      <c r="B2704" s="1083"/>
      <c r="C2704" s="2830"/>
      <c r="D2704" s="2750"/>
      <c r="E2704" s="2765"/>
      <c r="F2704" s="2769" t="s">
        <v>6125</v>
      </c>
      <c r="G2704" s="2750"/>
      <c r="H2704" s="2751"/>
      <c r="I2704" s="2659">
        <f t="shared" si="154"/>
        <v>0</v>
      </c>
      <c r="J2704" s="1065"/>
      <c r="K2704" s="1065"/>
      <c r="L2704" s="1065"/>
      <c r="M2704" s="930">
        <v>1250</v>
      </c>
    </row>
    <row r="2705" spans="1:13" s="1012" customFormat="1" ht="25.2" hidden="1" customHeight="1">
      <c r="A2705" s="1082">
        <f t="shared" si="155"/>
        <v>0</v>
      </c>
      <c r="B2705" s="1083" t="s">
        <v>470</v>
      </c>
      <c r="C2705" s="2830"/>
      <c r="D2705" s="2745"/>
      <c r="E2705" s="2746">
        <v>0</v>
      </c>
      <c r="F2705" s="2747" t="s">
        <v>6374</v>
      </c>
      <c r="G2705" s="2746" t="s">
        <v>2532</v>
      </c>
      <c r="H2705" s="2748">
        <f>H2684+H2703*8</f>
        <v>0</v>
      </c>
      <c r="I2705" s="2659">
        <f t="shared" si="154"/>
        <v>0</v>
      </c>
      <c r="J2705" s="1065"/>
      <c r="K2705" s="1065"/>
      <c r="L2705" s="1065"/>
      <c r="M2705" s="930">
        <v>1250</v>
      </c>
    </row>
    <row r="2706" spans="1:13" s="1012" customFormat="1" ht="25.2" hidden="1" customHeight="1">
      <c r="A2706" s="1082">
        <f t="shared" si="155"/>
        <v>0</v>
      </c>
      <c r="B2706" s="1083" t="s">
        <v>271</v>
      </c>
      <c r="C2706" s="2830"/>
      <c r="D2706" s="2745"/>
      <c r="E2706" s="2746">
        <v>0</v>
      </c>
      <c r="F2706" s="2747" t="s">
        <v>6375</v>
      </c>
      <c r="G2706" s="2746" t="s">
        <v>2532</v>
      </c>
      <c r="H2706" s="2748">
        <f>H2705</f>
        <v>0</v>
      </c>
      <c r="I2706" s="2659">
        <f t="shared" si="154"/>
        <v>0</v>
      </c>
      <c r="J2706" s="1065"/>
      <c r="K2706" s="1065"/>
      <c r="L2706" s="1065"/>
      <c r="M2706" s="930">
        <v>1250</v>
      </c>
    </row>
    <row r="2707" spans="1:13" s="1012" customFormat="1" ht="25.2" hidden="1" customHeight="1">
      <c r="A2707" s="1082">
        <f t="shared" si="155"/>
        <v>0</v>
      </c>
      <c r="B2707" s="1083" t="s">
        <v>271</v>
      </c>
      <c r="C2707" s="2830"/>
      <c r="D2707" s="2745"/>
      <c r="E2707" s="2746">
        <v>0</v>
      </c>
      <c r="F2707" s="2747" t="s">
        <v>6376</v>
      </c>
      <c r="G2707" s="2746" t="s">
        <v>2532</v>
      </c>
      <c r="H2707" s="2748">
        <f>H2703*0.5*3</f>
        <v>0</v>
      </c>
      <c r="I2707" s="2659">
        <f t="shared" si="154"/>
        <v>0</v>
      </c>
      <c r="J2707" s="1065"/>
      <c r="K2707" s="1065"/>
      <c r="L2707" s="1065"/>
      <c r="M2707" s="930">
        <v>1250</v>
      </c>
    </row>
    <row r="2708" spans="1:13" s="1012" customFormat="1" ht="25.2"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2" hidden="1" customHeight="1">
      <c r="A2709" s="1082">
        <f t="shared" si="155"/>
        <v>0</v>
      </c>
      <c r="B2709" s="1083" t="s">
        <v>470</v>
      </c>
      <c r="C2709" s="2830"/>
      <c r="D2709" s="2745"/>
      <c r="E2709" s="2746">
        <v>0</v>
      </c>
      <c r="F2709" s="2747" t="s">
        <v>6377</v>
      </c>
      <c r="G2709" s="2746" t="s">
        <v>2532</v>
      </c>
      <c r="H2709" s="2748">
        <f>(1.2+2.4)*H2703</f>
        <v>0</v>
      </c>
      <c r="I2709" s="2659">
        <f t="shared" si="154"/>
        <v>0</v>
      </c>
      <c r="J2709" s="1065"/>
      <c r="K2709" s="1065"/>
      <c r="L2709" s="1065"/>
      <c r="M2709" s="930">
        <v>1250</v>
      </c>
    </row>
    <row r="2710" spans="1:13" s="1012" customFormat="1" ht="25.2" hidden="1" customHeight="1">
      <c r="A2710" s="1082">
        <f t="shared" si="155"/>
        <v>0</v>
      </c>
      <c r="B2710" s="1083" t="s">
        <v>271</v>
      </c>
      <c r="C2710" s="2830"/>
      <c r="D2710" s="2745"/>
      <c r="E2710" s="2746">
        <v>0</v>
      </c>
      <c r="F2710" s="2747" t="s">
        <v>6378</v>
      </c>
      <c r="G2710" s="2746" t="s">
        <v>2532</v>
      </c>
      <c r="H2710" s="2748">
        <f>H2703*1.2</f>
        <v>0</v>
      </c>
      <c r="I2710" s="2659">
        <f t="shared" si="154"/>
        <v>0</v>
      </c>
      <c r="J2710" s="1065"/>
      <c r="K2710" s="1065"/>
      <c r="L2710" s="1065"/>
      <c r="M2710" s="930">
        <v>1250</v>
      </c>
    </row>
    <row r="2711" spans="1:13" s="1012" customFormat="1" ht="25.2"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2" hidden="1" customHeight="1">
      <c r="A2712" s="1082">
        <f t="shared" si="155"/>
        <v>0</v>
      </c>
      <c r="B2712" s="1083" t="s">
        <v>1674</v>
      </c>
      <c r="C2712" s="2830"/>
      <c r="D2712" s="2745"/>
      <c r="E2712" s="2746" t="s">
        <v>5455</v>
      </c>
      <c r="F2712" s="2747" t="s">
        <v>3178</v>
      </c>
      <c r="G2712" s="2746" t="s">
        <v>2555</v>
      </c>
      <c r="H2712" s="2748">
        <f>H2708+H2711</f>
        <v>0</v>
      </c>
      <c r="I2712" s="2659">
        <f t="shared" si="154"/>
        <v>0</v>
      </c>
      <c r="J2712" s="1065"/>
      <c r="K2712" s="1065"/>
      <c r="L2712" s="1065"/>
      <c r="M2712" s="930">
        <v>1250</v>
      </c>
    </row>
    <row r="2713" spans="1:13" s="1012" customFormat="1" ht="25.2"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2"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2" hidden="1" customHeight="1">
      <c r="A2715" s="1082">
        <f t="shared" si="155"/>
        <v>0</v>
      </c>
      <c r="B2715" s="1083" t="s">
        <v>1525</v>
      </c>
      <c r="C2715" s="2830"/>
      <c r="D2715" s="2745"/>
      <c r="E2715" s="2746" t="s">
        <v>5567</v>
      </c>
      <c r="F2715" s="2747" t="s">
        <v>3291</v>
      </c>
      <c r="G2715" s="2746" t="s">
        <v>1823</v>
      </c>
      <c r="H2715" s="2748">
        <f>H2707</f>
        <v>0</v>
      </c>
      <c r="I2715" s="2659">
        <f t="shared" si="154"/>
        <v>0</v>
      </c>
      <c r="J2715" s="1065"/>
      <c r="K2715" s="1065"/>
      <c r="L2715" s="1065"/>
      <c r="M2715" s="930">
        <v>1250</v>
      </c>
    </row>
    <row r="2716" spans="1:13" s="1012" customFormat="1" ht="25.2"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2" hidden="1" customHeight="1">
      <c r="A2717" s="1082">
        <f t="shared" si="155"/>
        <v>0</v>
      </c>
      <c r="B2717" s="1083"/>
      <c r="C2717" s="2830"/>
      <c r="D2717" s="2760">
        <f>IF(H2717&gt;0,D2703+1,D2703)</f>
        <v>6</v>
      </c>
      <c r="E2717" s="2761"/>
      <c r="F2717" s="2762" t="s">
        <v>6255</v>
      </c>
      <c r="G2717" s="2763" t="s">
        <v>2385</v>
      </c>
      <c r="H2717" s="2764">
        <f>H2605</f>
        <v>1</v>
      </c>
      <c r="I2717" s="2659">
        <f t="shared" si="154"/>
        <v>1</v>
      </c>
      <c r="J2717" s="1065"/>
      <c r="K2717" s="1065"/>
      <c r="L2717" s="1065"/>
      <c r="M2717" s="930">
        <v>1250</v>
      </c>
    </row>
    <row r="2718" spans="1:13" s="1012" customFormat="1" ht="25.2" hidden="1" customHeight="1">
      <c r="A2718" s="1082">
        <f t="shared" si="155"/>
        <v>0</v>
      </c>
      <c r="B2718" s="1083"/>
      <c r="C2718" s="2830"/>
      <c r="D2718" s="2750"/>
      <c r="E2718" s="2765"/>
      <c r="F2718" s="2766" t="s">
        <v>6125</v>
      </c>
      <c r="G2718" s="2750"/>
      <c r="H2718" s="2751"/>
      <c r="I2718" s="2659">
        <f t="shared" si="154"/>
        <v>0</v>
      </c>
      <c r="J2718" s="1065"/>
      <c r="K2718" s="1065"/>
      <c r="L2718" s="1065"/>
      <c r="M2718" s="930">
        <v>1250</v>
      </c>
    </row>
    <row r="2719" spans="1:13" s="1012" customFormat="1" ht="25.2"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2" hidden="1" customHeight="1">
      <c r="A2720" s="1082">
        <f t="shared" si="155"/>
        <v>0</v>
      </c>
      <c r="B2720" s="1083" t="s">
        <v>5695</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2" hidden="1" customHeight="1">
      <c r="A2721" s="1082">
        <f t="shared" si="155"/>
        <v>0</v>
      </c>
      <c r="B2721" s="1083" t="s">
        <v>5701</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2" hidden="1" customHeight="1">
      <c r="A2722" s="1082">
        <f t="shared" si="155"/>
        <v>0</v>
      </c>
      <c r="B2722" s="1083" t="s">
        <v>5703</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2" hidden="1" customHeight="1">
      <c r="A2723" s="1082">
        <f t="shared" si="155"/>
        <v>0</v>
      </c>
      <c r="B2723" s="1083" t="s">
        <v>5693</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2"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2"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2"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2"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2" hidden="1" customHeight="1">
      <c r="A2728" s="1082">
        <f t="shared" si="155"/>
        <v>0</v>
      </c>
      <c r="B2728" s="1083" t="s">
        <v>6272</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2" hidden="1" customHeight="1">
      <c r="A2729" s="1082">
        <f t="shared" si="155"/>
        <v>0</v>
      </c>
      <c r="B2729" s="1083" t="s">
        <v>1565</v>
      </c>
      <c r="C2729" s="2830"/>
      <c r="D2729" s="2745"/>
      <c r="E2729" s="2746" t="s">
        <v>5556</v>
      </c>
      <c r="F2729" s="2747" t="str">
        <f t="shared" si="156"/>
        <v>Lắp sứ đứng 24KV</v>
      </c>
      <c r="G2729" s="2746" t="s">
        <v>2439</v>
      </c>
      <c r="H2729" s="2748">
        <f>H2727</f>
        <v>9</v>
      </c>
      <c r="I2729" s="2659">
        <f t="shared" si="154"/>
        <v>9</v>
      </c>
      <c r="J2729" s="1065"/>
      <c r="K2729" s="1065"/>
      <c r="L2729" s="1065"/>
      <c r="M2729" s="930">
        <v>1250</v>
      </c>
    </row>
    <row r="2730" spans="1:13" s="1012" customFormat="1" ht="25.2" hidden="1" customHeight="1">
      <c r="A2730" s="1082">
        <f t="shared" si="155"/>
        <v>0</v>
      </c>
      <c r="B2730" s="1083" t="s">
        <v>1525</v>
      </c>
      <c r="C2730" s="2830"/>
      <c r="D2730" s="2745"/>
      <c r="E2730" s="2746" t="s">
        <v>5567</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2"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2" hidden="1" customHeight="1">
      <c r="A2732" s="1082">
        <f t="shared" si="155"/>
        <v>0</v>
      </c>
      <c r="B2732" s="1083"/>
      <c r="C2732" s="2830"/>
      <c r="D2732" s="2750"/>
      <c r="E2732" s="2765"/>
      <c r="F2732" s="2766" t="s">
        <v>6125</v>
      </c>
      <c r="G2732" s="2750"/>
      <c r="H2732" s="2748"/>
      <c r="I2732" s="2659">
        <f t="shared" si="154"/>
        <v>0</v>
      </c>
      <c r="J2732" s="1065"/>
      <c r="K2732" s="1065"/>
      <c r="L2732" s="1065"/>
      <c r="M2732" s="930">
        <v>1250</v>
      </c>
    </row>
    <row r="2733" spans="1:13" s="1012" customFormat="1" ht="25.2" hidden="1" customHeight="1">
      <c r="A2733" s="1082">
        <f t="shared" si="155"/>
        <v>0</v>
      </c>
      <c r="B2733" s="1083" t="s">
        <v>4754</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2" hidden="1" customHeight="1">
      <c r="A2734" s="1082">
        <f t="shared" si="155"/>
        <v>0</v>
      </c>
      <c r="B2734" s="1083" t="s">
        <v>2156</v>
      </c>
      <c r="C2734" s="2830"/>
      <c r="D2734" s="2745"/>
      <c r="E2734" s="2746" t="s">
        <v>5727</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2"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2"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2"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2" hidden="1" customHeight="1">
      <c r="A2738" s="1082">
        <f t="shared" si="155"/>
        <v>0</v>
      </c>
      <c r="B2738" s="1083" t="s">
        <v>6</v>
      </c>
      <c r="C2738" s="2830"/>
      <c r="D2738" s="2745"/>
      <c r="E2738" s="2746"/>
      <c r="F2738" s="2747" t="str">
        <f>VLOOKUP(B2738,DonGia,3,0)</f>
        <v>Keo silicon bít miệng ống</v>
      </c>
      <c r="G2738" s="2746" t="s">
        <v>5802</v>
      </c>
      <c r="H2738" s="2748">
        <f>+H2731*3</f>
        <v>3</v>
      </c>
      <c r="I2738" s="2659">
        <f t="shared" si="157"/>
        <v>3</v>
      </c>
      <c r="J2738" s="1065"/>
      <c r="K2738" s="1065"/>
      <c r="L2738" s="1065"/>
      <c r="M2738" s="930">
        <v>1250</v>
      </c>
    </row>
    <row r="2739" spans="1:13" s="1012" customFormat="1" ht="25.2"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2"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2" hidden="1" customHeight="1">
      <c r="A2741" s="1082">
        <f t="shared" si="155"/>
        <v>0</v>
      </c>
      <c r="B2741" s="1083" t="s">
        <v>247</v>
      </c>
      <c r="C2741" s="2830"/>
      <c r="D2741" s="2745"/>
      <c r="E2741" s="2746" t="s">
        <v>5569</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2" hidden="1" customHeight="1">
      <c r="A2742" s="1082">
        <f t="shared" si="155"/>
        <v>0</v>
      </c>
      <c r="B2742" s="1083"/>
      <c r="C2742" s="2830"/>
      <c r="D2742" s="2760">
        <f>IF(H2742&gt;0,D2731+1,D2731)</f>
        <v>7</v>
      </c>
      <c r="E2742" s="2761"/>
      <c r="F2742" s="2762" t="s">
        <v>6214</v>
      </c>
      <c r="G2742" s="2763" t="s">
        <v>2385</v>
      </c>
      <c r="H2742" s="2764"/>
      <c r="I2742" s="2659">
        <f t="shared" si="157"/>
        <v>0</v>
      </c>
      <c r="J2742" s="1065"/>
      <c r="K2742" s="1065"/>
      <c r="L2742" s="1065"/>
      <c r="M2742" s="930">
        <v>1250</v>
      </c>
    </row>
    <row r="2743" spans="1:13" s="1012" customFormat="1" ht="25.2" hidden="1" customHeight="1">
      <c r="A2743" s="1082">
        <f t="shared" si="155"/>
        <v>0</v>
      </c>
      <c r="B2743" s="1083"/>
      <c r="C2743" s="2830"/>
      <c r="D2743" s="2750"/>
      <c r="E2743" s="2765"/>
      <c r="F2743" s="2766" t="s">
        <v>6125</v>
      </c>
      <c r="G2743" s="2745"/>
      <c r="H2743" s="2748"/>
      <c r="I2743" s="2659">
        <f t="shared" si="157"/>
        <v>0</v>
      </c>
      <c r="J2743" s="1065"/>
      <c r="K2743" s="1065"/>
      <c r="L2743" s="1065"/>
      <c r="M2743" s="930">
        <v>1250</v>
      </c>
    </row>
    <row r="2744" spans="1:13" s="1012" customFormat="1" ht="25.2" hidden="1" customHeight="1">
      <c r="A2744" s="1082">
        <f t="shared" si="155"/>
        <v>0</v>
      </c>
      <c r="B2744" s="1083" t="s">
        <v>653</v>
      </c>
      <c r="C2744" s="2830"/>
      <c r="D2744" s="2745"/>
      <c r="E2744" s="2746">
        <v>0</v>
      </c>
      <c r="F2744" s="2747" t="s">
        <v>5285</v>
      </c>
      <c r="G2744" s="2746" t="s">
        <v>2248</v>
      </c>
      <c r="H2744" s="2748">
        <f>+H2747*296</f>
        <v>0</v>
      </c>
      <c r="I2744" s="2659">
        <f t="shared" si="157"/>
        <v>0</v>
      </c>
      <c r="J2744" s="1065"/>
      <c r="K2744" s="1065"/>
      <c r="L2744" s="1065"/>
      <c r="M2744" s="930">
        <v>1250</v>
      </c>
    </row>
    <row r="2745" spans="1:13" s="1012" customFormat="1" ht="25.2"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2"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2" hidden="1" customHeight="1">
      <c r="A2747" s="1082">
        <f t="shared" si="155"/>
        <v>0</v>
      </c>
      <c r="B2747" s="1083" t="s">
        <v>654</v>
      </c>
      <c r="C2747" s="2830"/>
      <c r="D2747" s="2745"/>
      <c r="E2747" s="2746" t="s">
        <v>5467</v>
      </c>
      <c r="F2747" s="2747" t="s">
        <v>5470</v>
      </c>
      <c r="G2747" s="2746" t="s">
        <v>856</v>
      </c>
      <c r="H2747" s="2748">
        <f>H2742*(0.4*3*1-2*3.14*0.15^2*0.4)</f>
        <v>0</v>
      </c>
      <c r="I2747" s="2659">
        <f t="shared" si="157"/>
        <v>0</v>
      </c>
      <c r="J2747" s="1065"/>
      <c r="K2747" s="1065"/>
      <c r="L2747" s="1065"/>
      <c r="M2747" s="930">
        <v>1250</v>
      </c>
    </row>
    <row r="2748" spans="1:13" s="1012" customFormat="1" ht="25.2" hidden="1" customHeight="1">
      <c r="A2748" s="1082">
        <f t="shared" si="155"/>
        <v>0</v>
      </c>
      <c r="B2748" s="1083"/>
      <c r="C2748" s="2830"/>
      <c r="D2748" s="2760">
        <f>IF(H2748&gt;0,D2742+1,D2742)</f>
        <v>8</v>
      </c>
      <c r="E2748" s="2771"/>
      <c r="F2748" s="2762" t="s">
        <v>6273</v>
      </c>
      <c r="G2748" s="2763" t="s">
        <v>2385</v>
      </c>
      <c r="H2748" s="2764">
        <f>H2605</f>
        <v>1</v>
      </c>
      <c r="I2748" s="2659">
        <f t="shared" si="157"/>
        <v>1</v>
      </c>
      <c r="J2748" s="1065"/>
      <c r="K2748" s="1065"/>
      <c r="L2748" s="1065"/>
      <c r="M2748" s="930">
        <v>1250</v>
      </c>
    </row>
    <row r="2749" spans="1:13" s="1012" customFormat="1" ht="25.2" hidden="1" customHeight="1">
      <c r="A2749" s="1082">
        <f t="shared" si="155"/>
        <v>0</v>
      </c>
      <c r="B2749" s="1083"/>
      <c r="C2749" s="2830"/>
      <c r="D2749" s="2750"/>
      <c r="E2749" s="2765"/>
      <c r="F2749" s="2766" t="s">
        <v>6125</v>
      </c>
      <c r="G2749" s="2745"/>
      <c r="H2749" s="2748"/>
      <c r="I2749" s="2659">
        <f t="shared" si="157"/>
        <v>0</v>
      </c>
      <c r="J2749" s="1065"/>
      <c r="K2749" s="1065"/>
      <c r="L2749" s="1065"/>
      <c r="M2749" s="930">
        <v>1250</v>
      </c>
    </row>
    <row r="2750" spans="1:13" s="1012" customFormat="1" ht="25.2" hidden="1" customHeight="1">
      <c r="A2750" s="1082">
        <f t="shared" si="155"/>
        <v>0</v>
      </c>
      <c r="B2750" s="1083"/>
      <c r="C2750" s="2830"/>
      <c r="D2750" s="2750"/>
      <c r="E2750" s="2765"/>
      <c r="F2750" s="2766" t="s">
        <v>6125</v>
      </c>
      <c r="G2750" s="2745"/>
      <c r="H2750" s="2748"/>
      <c r="I2750" s="2659">
        <f t="shared" si="157"/>
        <v>0</v>
      </c>
      <c r="J2750" s="1065"/>
      <c r="K2750" s="1065"/>
      <c r="L2750" s="1065"/>
      <c r="M2750" s="930">
        <v>1250</v>
      </c>
    </row>
    <row r="2751" spans="1:13" s="1012" customFormat="1" ht="25.2"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2" hidden="1" customHeight="1">
      <c r="A2752" s="1082">
        <f t="shared" si="155"/>
        <v>0</v>
      </c>
      <c r="B2752" s="1083" t="s">
        <v>6235</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2" hidden="1" customHeight="1">
      <c r="A2753" s="1082">
        <f t="shared" si="155"/>
        <v>0</v>
      </c>
      <c r="B2753" s="1083" t="s">
        <v>5481</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2" hidden="1" customHeight="1">
      <c r="A2754" s="1082">
        <f t="shared" si="155"/>
        <v>0</v>
      </c>
      <c r="B2754" s="1083" t="s">
        <v>585</v>
      </c>
      <c r="C2754" s="2830"/>
      <c r="D2754" s="2745"/>
      <c r="E2754" s="2746" t="s">
        <v>5475</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2" hidden="1" customHeight="1">
      <c r="A2755" s="1082">
        <f t="shared" si="155"/>
        <v>0</v>
      </c>
      <c r="B2755" s="1083" t="s">
        <v>654</v>
      </c>
      <c r="C2755" s="2830"/>
      <c r="D2755" s="2745"/>
      <c r="E2755" s="2746" t="s">
        <v>5467</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2" hidden="1" customHeight="1">
      <c r="A2756" s="1082">
        <f t="shared" si="155"/>
        <v>0</v>
      </c>
      <c r="B2756" s="1083" t="s">
        <v>1955</v>
      </c>
      <c r="C2756" s="2830"/>
      <c r="D2756" s="2745"/>
      <c r="E2756" s="2746" t="s">
        <v>5467</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30"/>
      <c r="D2757" s="2760">
        <f>IF(H2757&gt;0,D2748+1,D2748)</f>
        <v>9</v>
      </c>
      <c r="E2757" s="2771"/>
      <c r="F2757" s="2762" t="s">
        <v>6236</v>
      </c>
      <c r="G2757" s="2763" t="s">
        <v>2385</v>
      </c>
      <c r="H2757" s="2764">
        <f>H2748</f>
        <v>1</v>
      </c>
      <c r="I2757" s="2659">
        <f t="shared" si="157"/>
        <v>1</v>
      </c>
      <c r="J2757" s="1065"/>
      <c r="K2757" s="1065"/>
      <c r="L2757" s="1065"/>
      <c r="M2757" s="930">
        <v>1250</v>
      </c>
    </row>
    <row r="2758" spans="1:13" s="1012" customFormat="1" ht="25.2" hidden="1" customHeight="1">
      <c r="A2758" s="1082">
        <f t="shared" si="159"/>
        <v>0</v>
      </c>
      <c r="B2758" s="1083"/>
      <c r="C2758" s="2830"/>
      <c r="D2758" s="2750"/>
      <c r="E2758" s="2765"/>
      <c r="F2758" s="2766" t="s">
        <v>6125</v>
      </c>
      <c r="G2758" s="2745"/>
      <c r="H2758" s="2748"/>
      <c r="I2758" s="2659">
        <f t="shared" si="157"/>
        <v>0</v>
      </c>
      <c r="J2758" s="1065"/>
      <c r="K2758" s="1065"/>
      <c r="L2758" s="1065"/>
      <c r="M2758" s="930">
        <v>1250</v>
      </c>
    </row>
    <row r="2759" spans="1:13" s="1012" customFormat="1" ht="25.2" hidden="1" customHeight="1">
      <c r="A2759" s="1082">
        <f t="shared" si="159"/>
        <v>0</v>
      </c>
      <c r="B2759" s="1083"/>
      <c r="C2759" s="2830"/>
      <c r="D2759" s="2750"/>
      <c r="E2759" s="2765"/>
      <c r="F2759" s="2766" t="s">
        <v>6125</v>
      </c>
      <c r="G2759" s="2745"/>
      <c r="H2759" s="2748"/>
      <c r="I2759" s="2659">
        <f t="shared" si="157"/>
        <v>0</v>
      </c>
      <c r="J2759" s="1065"/>
      <c r="K2759" s="1065"/>
      <c r="L2759" s="1065"/>
      <c r="M2759" s="930">
        <v>1250</v>
      </c>
    </row>
    <row r="2760" spans="1:13" s="1012" customFormat="1" ht="25.2" hidden="1" customHeight="1">
      <c r="A2760" s="1082">
        <f t="shared" si="159"/>
        <v>0</v>
      </c>
      <c r="B2760" s="1083" t="s">
        <v>5298</v>
      </c>
      <c r="C2760" s="2830"/>
      <c r="D2760" s="2745"/>
      <c r="E2760" s="2746" t="s">
        <v>5299</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2" hidden="1" customHeight="1">
      <c r="A2761" s="1082">
        <f t="shared" si="159"/>
        <v>0</v>
      </c>
      <c r="B2761" s="1083" t="s">
        <v>5360</v>
      </c>
      <c r="C2761" s="2830"/>
      <c r="D2761" s="2745"/>
      <c r="E2761" s="2746" t="s">
        <v>5361</v>
      </c>
      <c r="F2761" s="2747" t="str">
        <f t="shared" si="160"/>
        <v>Mặt bích nối cột bêt tông loại 200x200x5, 04 lỗ D16</v>
      </c>
      <c r="G2761" s="2746" t="s">
        <v>5363</v>
      </c>
      <c r="H2761" s="2748">
        <f>H2760/2</f>
        <v>9</v>
      </c>
      <c r="I2761" s="2659">
        <f t="shared" si="157"/>
        <v>9</v>
      </c>
      <c r="J2761" s="1065"/>
      <c r="K2761" s="1065"/>
      <c r="L2761" s="1065"/>
      <c r="M2761" s="930">
        <v>1250</v>
      </c>
    </row>
    <row r="2762" spans="1:13" s="1012" customFormat="1" ht="25.2" hidden="1" customHeight="1">
      <c r="A2762" s="1082">
        <f t="shared" si="159"/>
        <v>0</v>
      </c>
      <c r="B2762" s="1083" t="s">
        <v>5160</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2" hidden="1" customHeight="1">
      <c r="A2763" s="1082">
        <f t="shared" si="159"/>
        <v>0</v>
      </c>
      <c r="B2763" s="1083" t="s">
        <v>5162</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2"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2" hidden="1" customHeight="1">
      <c r="A2765" s="1082">
        <f t="shared" si="159"/>
        <v>0</v>
      </c>
      <c r="B2765" s="1083" t="s">
        <v>6237</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2"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2" hidden="1" customHeight="1">
      <c r="A2767" s="1082">
        <f t="shared" si="159"/>
        <v>0</v>
      </c>
      <c r="B2767" s="1083" t="s">
        <v>5054</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2" hidden="1" customHeight="1">
      <c r="A2768" s="1082">
        <f t="shared" si="159"/>
        <v>0</v>
      </c>
      <c r="B2768" s="1083" t="s">
        <v>6235</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2"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2" hidden="1" customHeight="1">
      <c r="A2770" s="1082">
        <f t="shared" si="159"/>
        <v>0</v>
      </c>
      <c r="B2770" s="1083" t="s">
        <v>5483</v>
      </c>
      <c r="C2770" s="2830"/>
      <c r="D2770" s="2745"/>
      <c r="E2770" s="2746" t="s">
        <v>5484</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2" hidden="1" customHeight="1">
      <c r="A2771" s="1082">
        <f t="shared" si="159"/>
        <v>0</v>
      </c>
      <c r="B2771" s="1083" t="s">
        <v>9</v>
      </c>
      <c r="C2771" s="2830"/>
      <c r="D2771" s="2745"/>
      <c r="E2771" s="2746" t="s">
        <v>5474</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2" hidden="1" customHeight="1">
      <c r="A2772" s="1082">
        <f t="shared" si="159"/>
        <v>0</v>
      </c>
      <c r="B2772" s="1083" t="s">
        <v>654</v>
      </c>
      <c r="C2772" s="2830"/>
      <c r="D2772" s="2745"/>
      <c r="E2772" s="2746" t="s">
        <v>5467</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2" hidden="1" customHeight="1">
      <c r="A2773" s="1082">
        <f t="shared" si="159"/>
        <v>0</v>
      </c>
      <c r="B2773" s="1083" t="s">
        <v>5476</v>
      </c>
      <c r="C2773" s="2830"/>
      <c r="D2773" s="2745"/>
      <c r="E2773" s="2746" t="s">
        <v>5477</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2" hidden="1" customHeight="1">
      <c r="A2774" s="1082">
        <f t="shared" si="159"/>
        <v>0</v>
      </c>
      <c r="B2774" s="1083"/>
      <c r="C2774" s="2830"/>
      <c r="D2774" s="2760">
        <f>IF(H2774&gt;0,D2757+1,D2757)</f>
        <v>10</v>
      </c>
      <c r="E2774" s="2771"/>
      <c r="F2774" s="2762" t="s">
        <v>6245</v>
      </c>
      <c r="G2774" s="2763" t="s">
        <v>2385</v>
      </c>
      <c r="H2774" s="2764">
        <v>1</v>
      </c>
      <c r="I2774" s="2659">
        <f t="shared" si="157"/>
        <v>1</v>
      </c>
      <c r="J2774" s="1065"/>
      <c r="K2774" s="1065"/>
      <c r="L2774" s="1065"/>
      <c r="M2774" s="930">
        <v>1250</v>
      </c>
    </row>
    <row r="2775" spans="1:13" s="1012" customFormat="1" ht="25.2" hidden="1" customHeight="1">
      <c r="A2775" s="1082">
        <f t="shared" si="159"/>
        <v>0</v>
      </c>
      <c r="B2775" s="1083"/>
      <c r="C2775" s="2830"/>
      <c r="D2775" s="2750"/>
      <c r="E2775" s="2765"/>
      <c r="F2775" s="2769" t="s">
        <v>6125</v>
      </c>
      <c r="G2775" s="2750"/>
      <c r="H2775" s="2751"/>
      <c r="I2775" s="2659">
        <f t="shared" si="157"/>
        <v>0</v>
      </c>
      <c r="J2775" s="1065"/>
      <c r="K2775" s="1065"/>
      <c r="L2775" s="1065"/>
      <c r="M2775" s="930">
        <v>1250</v>
      </c>
    </row>
    <row r="2776" spans="1:13" s="1012" customFormat="1" ht="25.2"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2" hidden="1" customHeight="1">
      <c r="A2777" s="1082">
        <f t="shared" si="159"/>
        <v>0</v>
      </c>
      <c r="B2777" s="1083" t="s">
        <v>6246</v>
      </c>
      <c r="C2777" s="2830"/>
      <c r="D2777" s="2745"/>
      <c r="E2777" s="2746">
        <v>0</v>
      </c>
      <c r="F2777" s="2768" t="s">
        <v>5049</v>
      </c>
      <c r="G2777" s="2772" t="s">
        <v>2439</v>
      </c>
      <c r="H2777" s="2748"/>
      <c r="I2777" s="2659">
        <f t="shared" si="157"/>
        <v>0</v>
      </c>
      <c r="J2777" s="1065"/>
      <c r="K2777" s="1065"/>
      <c r="L2777" s="1065"/>
      <c r="M2777" s="930">
        <v>1250</v>
      </c>
    </row>
    <row r="2778" spans="1:13" s="1012" customFormat="1" ht="25.2" hidden="1" customHeight="1">
      <c r="A2778" s="1082">
        <f t="shared" si="159"/>
        <v>0</v>
      </c>
      <c r="B2778" s="1083" t="s">
        <v>6247</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2"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2" hidden="1" customHeight="1">
      <c r="A2780" s="1082">
        <f t="shared" si="159"/>
        <v>0</v>
      </c>
      <c r="B2780" s="1083" t="s">
        <v>5730</v>
      </c>
      <c r="C2780" s="2830"/>
      <c r="D2780" s="2745"/>
      <c r="E2780" s="2746" t="s">
        <v>5720</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2"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2"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2"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2"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2"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2"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2"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2"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2"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2"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2"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2" hidden="1" customHeight="1">
      <c r="A2792" s="1082">
        <f t="shared" si="159"/>
        <v>0</v>
      </c>
      <c r="B2792" s="1083" t="s">
        <v>1915</v>
      </c>
      <c r="C2792" s="2830"/>
      <c r="D2792" s="2745"/>
      <c r="E2792" s="2746" t="s">
        <v>5651</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2" hidden="1" customHeight="1">
      <c r="A2793" s="1082">
        <f t="shared" si="159"/>
        <v>0</v>
      </c>
      <c r="B2793" s="1083" t="s">
        <v>6</v>
      </c>
      <c r="C2793" s="2830"/>
      <c r="D2793" s="2745"/>
      <c r="E2793" s="2746">
        <v>0</v>
      </c>
      <c r="F2793" s="2747" t="str">
        <f t="shared" si="161"/>
        <v>Keo silicon bít miệng ống</v>
      </c>
      <c r="G2793" s="2772" t="s">
        <v>5802</v>
      </c>
      <c r="H2793" s="2748">
        <f>H2774*2</f>
        <v>2</v>
      </c>
      <c r="I2793" s="2659">
        <f t="shared" si="157"/>
        <v>2</v>
      </c>
      <c r="J2793" s="1065"/>
      <c r="K2793" s="1065"/>
      <c r="L2793" s="1065"/>
      <c r="M2793" s="930">
        <v>1250</v>
      </c>
    </row>
    <row r="2794" spans="1:13" s="1012" customFormat="1" ht="25.2"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2" hidden="1" customHeight="1">
      <c r="A2795" s="1082">
        <f t="shared" si="159"/>
        <v>0</v>
      </c>
      <c r="B2795" s="1083" t="s">
        <v>1035</v>
      </c>
      <c r="C2795" s="2830"/>
      <c r="D2795" s="2745"/>
      <c r="E2795" s="2746">
        <v>0</v>
      </c>
      <c r="F2795" s="2768" t="s">
        <v>6381</v>
      </c>
      <c r="G2795" s="2772" t="s">
        <v>2248</v>
      </c>
      <c r="H2795" s="2773"/>
      <c r="I2795" s="2659">
        <f t="shared" si="157"/>
        <v>0</v>
      </c>
      <c r="J2795" s="1065"/>
      <c r="K2795" s="1065"/>
      <c r="L2795" s="1065"/>
      <c r="M2795" s="930">
        <v>1250</v>
      </c>
    </row>
    <row r="2796" spans="1:13" s="1012" customFormat="1" ht="25.2" hidden="1" customHeight="1">
      <c r="A2796" s="1082">
        <f t="shared" si="159"/>
        <v>0</v>
      </c>
      <c r="B2796" s="1083" t="s">
        <v>6247</v>
      </c>
      <c r="C2796" s="2830"/>
      <c r="D2796" s="2745"/>
      <c r="E2796" s="2746">
        <v>0</v>
      </c>
      <c r="F2796" s="2768" t="s">
        <v>2624</v>
      </c>
      <c r="G2796" s="2772" t="s">
        <v>2439</v>
      </c>
      <c r="H2796" s="2773"/>
      <c r="I2796" s="2659">
        <f t="shared" si="157"/>
        <v>0</v>
      </c>
      <c r="J2796" s="1065"/>
      <c r="K2796" s="1065"/>
      <c r="L2796" s="1065"/>
      <c r="M2796" s="930">
        <v>1250</v>
      </c>
    </row>
    <row r="2797" spans="1:13" s="1012" customFormat="1" ht="25.2" hidden="1" customHeight="1">
      <c r="A2797" s="1082">
        <f t="shared" si="159"/>
        <v>0</v>
      </c>
      <c r="B2797" s="1083"/>
      <c r="C2797" s="2830"/>
      <c r="D2797" s="1071"/>
      <c r="F2797" s="1072"/>
      <c r="H2797" s="1731"/>
      <c r="I2797" s="1865"/>
      <c r="M2797" s="930"/>
    </row>
    <row r="2798" spans="1:13" s="1012" customFormat="1" ht="25.2"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2"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2" hidden="1" customHeight="1">
      <c r="A2800" s="1082">
        <f t="shared" si="159"/>
        <v>0</v>
      </c>
      <c r="B2800" s="1223" t="s">
        <v>4505</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2"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2"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2"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2"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2"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2"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2"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2"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2"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2"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2"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2"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2"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2"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2"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2"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2"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2"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2"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2"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2"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2"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2"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2"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2"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2"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2"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2"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2"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2"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2"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2"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2"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2"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2"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2"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2"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2"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2"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2"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2"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2"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2"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2"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2"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2"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2"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2"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2"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2"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2"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2"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2"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2"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2"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2"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2"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2"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2"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2"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2"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2"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2"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2"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2"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2"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2"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2"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2"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2"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2"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2"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2"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2"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2"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2"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2"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2"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2"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2"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2"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2"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2"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2"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2"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2"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2"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2"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2"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2"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2"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2"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2"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2"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2"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2"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2"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2"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2"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2"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2"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2"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2"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2"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2"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2"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2"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2"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2"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2"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2"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2"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2"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2"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2"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2"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2"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2"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2"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2"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2"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2"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2"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2"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2"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2"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2"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2"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2"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2"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2"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2"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2"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2"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2"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2"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2"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2"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2"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2"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2"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2"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2"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2"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2"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2"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2"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2"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2"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2"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2"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2"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2"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2"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2"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2"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2"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2"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2"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2"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2"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2"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2"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2"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2"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2"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2"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2"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2"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2"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2" hidden="1" customHeight="1">
      <c r="A2985" s="1082">
        <f t="shared" si="169"/>
        <v>0</v>
      </c>
      <c r="B2985" s="1083"/>
      <c r="C2985" s="2830"/>
      <c r="D2985" s="2781"/>
      <c r="E2985" s="2781"/>
      <c r="F2985" s="2782" t="s">
        <v>3671</v>
      </c>
      <c r="G2985" s="2781"/>
      <c r="H2985" s="2808"/>
      <c r="I2985" s="2784"/>
      <c r="J2985" s="2783"/>
      <c r="K2985" s="2783"/>
      <c r="L2985" s="2785"/>
      <c r="M2985" s="930" t="s">
        <v>6427</v>
      </c>
    </row>
    <row r="2986" spans="1:13" s="1012" customFormat="1" ht="25.2" hidden="1" customHeight="1">
      <c r="A2986" s="1082">
        <f t="shared" si="169"/>
        <v>0</v>
      </c>
      <c r="B2986" s="2774" t="s">
        <v>1841</v>
      </c>
      <c r="C2986" s="2830">
        <v>1</v>
      </c>
      <c r="D2986" s="2786"/>
      <c r="E2986" s="2787" t="s">
        <v>5588</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6427</v>
      </c>
    </row>
    <row r="2987" spans="1:13" s="1012" customFormat="1" ht="25.2" hidden="1" customHeight="1">
      <c r="A2987" s="1082">
        <f t="shared" si="169"/>
        <v>0</v>
      </c>
      <c r="B2987" s="2775" t="s">
        <v>1652</v>
      </c>
      <c r="C2987" s="2830">
        <v>3</v>
      </c>
      <c r="D2987" s="2786"/>
      <c r="E2987" s="2787" t="s">
        <v>5594</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6427</v>
      </c>
    </row>
    <row r="2988" spans="1:13" s="1012" customFormat="1" ht="25.2" hidden="1" customHeight="1">
      <c r="A2988" s="1082">
        <f t="shared" si="169"/>
        <v>0</v>
      </c>
      <c r="B2988" s="2774" t="s">
        <v>4497</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6427</v>
      </c>
    </row>
    <row r="2989" spans="1:13" s="1012" customFormat="1" ht="25.2" hidden="1" customHeight="1">
      <c r="A2989" s="1082">
        <f t="shared" si="169"/>
        <v>0</v>
      </c>
      <c r="B2989" s="2776" t="s">
        <v>1373</v>
      </c>
      <c r="C2989" s="2830">
        <v>3</v>
      </c>
      <c r="D2989" s="2786"/>
      <c r="E2989" s="2787" t="s">
        <v>5598</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6427</v>
      </c>
    </row>
    <row r="2990" spans="1:13" s="1012" customFormat="1" ht="25.2" hidden="1" customHeight="1">
      <c r="A2990" s="1082">
        <f t="shared" si="169"/>
        <v>0</v>
      </c>
      <c r="B2990" s="2777" t="s">
        <v>1459</v>
      </c>
      <c r="C2990" s="2830">
        <v>1</v>
      </c>
      <c r="D2990" s="2786"/>
      <c r="E2990" s="2787" t="s">
        <v>5684</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6427</v>
      </c>
    </row>
    <row r="2991" spans="1:13" s="1012" customFormat="1" ht="25.2" hidden="1" customHeight="1">
      <c r="A2991" s="1082">
        <f t="shared" si="169"/>
        <v>0</v>
      </c>
      <c r="B2991" s="2777" t="s">
        <v>953</v>
      </c>
      <c r="C2991" s="2830">
        <v>0</v>
      </c>
      <c r="D2991" s="2786"/>
      <c r="E2991" s="2787" t="s">
        <v>5681</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6427</v>
      </c>
    </row>
    <row r="2992" spans="1:13" s="1012" customFormat="1" ht="25.2" hidden="1" customHeight="1">
      <c r="A2992" s="1082">
        <f t="shared" si="169"/>
        <v>0</v>
      </c>
      <c r="B2992" s="2777" t="s">
        <v>6428</v>
      </c>
      <c r="C2992" s="2830">
        <v>1</v>
      </c>
      <c r="D2992" s="2786"/>
      <c r="E2992" s="2787" t="s">
        <v>5617</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6427</v>
      </c>
    </row>
    <row r="2993" spans="1:13" s="1012" customFormat="1" ht="25.2"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6427</v>
      </c>
    </row>
    <row r="2994" spans="1:13" s="1012" customFormat="1" ht="25.2"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6427</v>
      </c>
    </row>
    <row r="2995" spans="1:13" s="1012" customFormat="1" ht="25.2"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6427</v>
      </c>
    </row>
    <row r="2996" spans="1:13" s="1012" customFormat="1" ht="25.2" hidden="1" customHeight="1">
      <c r="A2996" s="1082">
        <f t="shared" si="169"/>
        <v>0</v>
      </c>
      <c r="B2996" s="1083"/>
      <c r="C2996" s="2830"/>
      <c r="D2996" s="2782"/>
      <c r="E2996" s="2782"/>
      <c r="F2996" s="2782" t="s">
        <v>3672</v>
      </c>
      <c r="G2996" s="2782"/>
      <c r="H2996" s="2790"/>
      <c r="I2996" s="2784">
        <v>1</v>
      </c>
      <c r="J2996" s="2783"/>
      <c r="K2996" s="2783"/>
      <c r="L2996" s="2785"/>
      <c r="M2996" s="930" t="s">
        <v>6427</v>
      </c>
    </row>
    <row r="2997" spans="1:13" s="1012" customFormat="1" ht="25.2"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6427</v>
      </c>
    </row>
    <row r="2998" spans="1:13" s="1012" customFormat="1" ht="25.2"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6427</v>
      </c>
    </row>
    <row r="2999" spans="1:13" s="1012" customFormat="1" ht="25.2"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6427</v>
      </c>
    </row>
    <row r="3000" spans="1:13" s="1012" customFormat="1" ht="25.2"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6427</v>
      </c>
    </row>
    <row r="3001" spans="1:13" s="1012" customFormat="1" ht="25.2"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6427</v>
      </c>
    </row>
    <row r="3002" spans="1:13" s="1012" customFormat="1" ht="25.2"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6427</v>
      </c>
    </row>
    <row r="3003" spans="1:13" s="1012" customFormat="1" ht="25.2" hidden="1" customHeight="1">
      <c r="A3003" s="1082">
        <f t="shared" si="169"/>
        <v>0</v>
      </c>
      <c r="B3003" s="1083" t="s">
        <v>4406</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6427</v>
      </c>
    </row>
    <row r="3004" spans="1:13" s="1012" customFormat="1" ht="25.2"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6427</v>
      </c>
    </row>
    <row r="3005" spans="1:13" s="1012" customFormat="1" ht="25.2"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6427</v>
      </c>
    </row>
    <row r="3006" spans="1:13" s="1012" customFormat="1" ht="25.2"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6427</v>
      </c>
    </row>
    <row r="3007" spans="1:13" s="1063" customFormat="1" ht="25.2" hidden="1" customHeight="1">
      <c r="A3007" s="2689">
        <f t="shared" si="169"/>
        <v>0</v>
      </c>
      <c r="B3007" s="2690" t="s">
        <v>6445</v>
      </c>
      <c r="C3007" s="2865"/>
      <c r="D3007" s="2809"/>
      <c r="E3007" s="2810"/>
      <c r="F3007" s="2800" t="s">
        <v>3713</v>
      </c>
      <c r="G3007" s="2794" t="s">
        <v>2385</v>
      </c>
      <c r="H3007" s="2795">
        <v>1</v>
      </c>
      <c r="I3007" s="2796">
        <f>H3007</f>
        <v>1</v>
      </c>
      <c r="J3007" s="2807"/>
      <c r="K3007" s="2807"/>
      <c r="L3007" s="2805"/>
      <c r="M3007" s="1029" t="s">
        <v>6427</v>
      </c>
    </row>
    <row r="3008" spans="1:13" s="1012" customFormat="1" ht="25.2" hidden="1" customHeight="1">
      <c r="A3008" s="1082">
        <f t="shared" si="169"/>
        <v>0</v>
      </c>
      <c r="B3008" s="1083" t="s">
        <v>4826</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6427</v>
      </c>
    </row>
    <row r="3009" spans="1:13" s="1012" customFormat="1" ht="25.2" hidden="1" customHeight="1">
      <c r="A3009" s="1082">
        <f t="shared" si="169"/>
        <v>0</v>
      </c>
      <c r="B3009" s="1083" t="s">
        <v>4827</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6427</v>
      </c>
    </row>
    <row r="3010" spans="1:13" s="1012" customFormat="1" ht="25.2" hidden="1" customHeight="1">
      <c r="A3010" s="1082">
        <f t="shared" si="169"/>
        <v>0</v>
      </c>
      <c r="B3010" s="1083" t="s">
        <v>4828</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6427</v>
      </c>
    </row>
    <row r="3011" spans="1:13" s="1012" customFormat="1" ht="25.2" hidden="1" customHeight="1">
      <c r="A3011" s="1082">
        <f t="shared" si="169"/>
        <v>0</v>
      </c>
      <c r="B3011" s="1083" t="s">
        <v>4829</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6427</v>
      </c>
    </row>
    <row r="3012" spans="1:13" s="1012" customFormat="1" ht="25.2" hidden="1" customHeight="1">
      <c r="A3012" s="1082">
        <f t="shared" si="169"/>
        <v>0</v>
      </c>
      <c r="B3012" s="1083" t="s">
        <v>4830</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6427</v>
      </c>
    </row>
    <row r="3013" spans="1:13" s="1012" customFormat="1" ht="25.2" hidden="1" customHeight="1">
      <c r="A3013" s="1082">
        <f t="shared" ref="A3013:A3076" si="181">IF(AND(M3013=$M$23,I3013&gt;0),1,0)</f>
        <v>0</v>
      </c>
      <c r="B3013" s="1083" t="s">
        <v>4831</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6427</v>
      </c>
    </row>
    <row r="3014" spans="1:13" s="1012" customFormat="1" ht="25.2" hidden="1" customHeight="1">
      <c r="A3014" s="1082">
        <f t="shared" si="181"/>
        <v>0</v>
      </c>
      <c r="B3014" s="1083" t="s">
        <v>4832</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6427</v>
      </c>
    </row>
    <row r="3015" spans="1:13" s="1012" customFormat="1" ht="25.2"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6427</v>
      </c>
    </row>
    <row r="3016" spans="1:13" s="1012" customFormat="1" ht="25.2"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6427</v>
      </c>
    </row>
    <row r="3017" spans="1:13" s="1012" customFormat="1" ht="25.2" hidden="1" customHeight="1">
      <c r="A3017" s="1082">
        <f t="shared" si="181"/>
        <v>0</v>
      </c>
      <c r="B3017" s="1083" t="s">
        <v>4834</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6427</v>
      </c>
    </row>
    <row r="3018" spans="1:13" s="1012" customFormat="1" ht="25.2" hidden="1" customHeight="1">
      <c r="A3018" s="1082">
        <f t="shared" si="181"/>
        <v>0</v>
      </c>
      <c r="B3018" s="1083" t="s">
        <v>4833</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6427</v>
      </c>
    </row>
    <row r="3019" spans="1:13" s="1012" customFormat="1" ht="25.2" hidden="1" customHeight="1">
      <c r="A3019" s="1082">
        <f t="shared" si="181"/>
        <v>0</v>
      </c>
      <c r="B3019" s="1083" t="s">
        <v>4835</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6427</v>
      </c>
    </row>
    <row r="3020" spans="1:13" s="1012" customFormat="1" ht="25.2"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6427</v>
      </c>
    </row>
    <row r="3021" spans="1:13" s="1012" customFormat="1" ht="25.2" hidden="1" customHeight="1">
      <c r="A3021" s="1082">
        <f t="shared" si="181"/>
        <v>0</v>
      </c>
      <c r="B3021" s="1083" t="s">
        <v>6406</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6427</v>
      </c>
    </row>
    <row r="3022" spans="1:13" s="1012" customFormat="1" ht="25.2" hidden="1" customHeight="1">
      <c r="A3022" s="1082">
        <f t="shared" si="181"/>
        <v>0</v>
      </c>
      <c r="B3022" s="1083" t="s">
        <v>4326</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6427</v>
      </c>
    </row>
    <row r="3023" spans="1:13" s="1012" customFormat="1" ht="25.2"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6427</v>
      </c>
    </row>
    <row r="3024" spans="1:13" s="1012" customFormat="1" ht="25.2"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6427</v>
      </c>
    </row>
    <row r="3025" spans="1:13" s="1012" customFormat="1" ht="25.2"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6427</v>
      </c>
    </row>
    <row r="3026" spans="1:13" s="1012" customFormat="1" ht="25.2"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6427</v>
      </c>
    </row>
    <row r="3027" spans="1:13" s="1012" customFormat="1" ht="25.2"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6427</v>
      </c>
    </row>
    <row r="3028" spans="1:13" s="1012" customFormat="1" ht="25.2" hidden="1" customHeight="1">
      <c r="A3028" s="1082">
        <f t="shared" si="181"/>
        <v>0</v>
      </c>
      <c r="B3028" s="1083" t="s">
        <v>6408</v>
      </c>
      <c r="C3028" s="2830"/>
      <c r="D3028" s="2791">
        <f>IF(H3028&gt;0,D3020+1,D3020)</f>
        <v>1</v>
      </c>
      <c r="E3028" s="2792"/>
      <c r="F3028" s="2793" t="s">
        <v>6269</v>
      </c>
      <c r="G3028" s="2794" t="s">
        <v>2385</v>
      </c>
      <c r="H3028" s="2795">
        <v>1</v>
      </c>
      <c r="I3028" s="2796">
        <f t="shared" ref="I3028" si="183">H3028</f>
        <v>1</v>
      </c>
      <c r="J3028" s="2806"/>
      <c r="K3028" s="2806"/>
      <c r="L3028" s="2785"/>
      <c r="M3028" s="930" t="s">
        <v>6427</v>
      </c>
    </row>
    <row r="3029" spans="1:13" s="1012" customFormat="1" ht="25.2" hidden="1" customHeight="1">
      <c r="A3029" s="1082">
        <f t="shared" si="181"/>
        <v>0</v>
      </c>
      <c r="B3029" s="1083" t="s">
        <v>6399</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6427</v>
      </c>
    </row>
    <row r="3030" spans="1:13" s="1012" customFormat="1" ht="25.2" hidden="1" customHeight="1">
      <c r="A3030" s="1082">
        <f t="shared" si="181"/>
        <v>0</v>
      </c>
      <c r="B3030" s="1083" t="s">
        <v>6400</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6427</v>
      </c>
    </row>
    <row r="3031" spans="1:13" s="1012" customFormat="1" ht="25.2"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6427</v>
      </c>
    </row>
    <row r="3032" spans="1:13" s="1012" customFormat="1" ht="25.2"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6427</v>
      </c>
    </row>
    <row r="3033" spans="1:13" s="1012" customFormat="1" ht="25.2"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6427</v>
      </c>
    </row>
    <row r="3034" spans="1:13" s="1012" customFormat="1" ht="25.2"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6427</v>
      </c>
    </row>
    <row r="3035" spans="1:13" s="1012" customFormat="1" ht="25.2" hidden="1" customHeight="1">
      <c r="A3035" s="1082">
        <f t="shared" si="181"/>
        <v>0</v>
      </c>
      <c r="B3035" s="1083" t="s">
        <v>1440</v>
      </c>
      <c r="C3035" s="2830">
        <v>1</v>
      </c>
      <c r="D3035" s="2801"/>
      <c r="E3035" s="2802" t="s">
        <v>5417</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6427</v>
      </c>
    </row>
    <row r="3036" spans="1:13" s="1012" customFormat="1" ht="25.2" hidden="1" customHeight="1">
      <c r="A3036" s="1082">
        <f t="shared" si="181"/>
        <v>0</v>
      </c>
      <c r="B3036" s="1083" t="s">
        <v>6429</v>
      </c>
      <c r="C3036" s="2830"/>
      <c r="D3036" s="2791"/>
      <c r="E3036" s="2792"/>
      <c r="F3036" s="2793" t="str">
        <f t="shared" si="184"/>
        <v>Tiếp địa trạm biến áp</v>
      </c>
      <c r="G3036" s="2794" t="str">
        <f t="shared" si="185"/>
        <v>Bộ</v>
      </c>
      <c r="H3036" s="2795">
        <v>1</v>
      </c>
      <c r="I3036" s="2796">
        <v>1</v>
      </c>
      <c r="J3036" s="2806"/>
      <c r="K3036" s="2806"/>
      <c r="L3036" s="2785"/>
      <c r="M3036" s="930" t="s">
        <v>6427</v>
      </c>
    </row>
    <row r="3037" spans="1:13" s="1012" customFormat="1" ht="25.2"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6427</v>
      </c>
    </row>
    <row r="3038" spans="1:13" s="1012" customFormat="1" ht="25.2"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6427</v>
      </c>
    </row>
    <row r="3039" spans="1:13" s="1012" customFormat="1" ht="25.2"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6427</v>
      </c>
    </row>
    <row r="3040" spans="1:13" s="1012" customFormat="1" ht="25.2"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6427</v>
      </c>
    </row>
    <row r="3041" spans="1:13" s="1012" customFormat="1" ht="25.2"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6427</v>
      </c>
    </row>
    <row r="3042" spans="1:13" s="1012" customFormat="1" ht="25.2"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6427</v>
      </c>
    </row>
    <row r="3043" spans="1:13" s="1012" customFormat="1" ht="25.2"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6427</v>
      </c>
    </row>
    <row r="3044" spans="1:13" s="1012" customFormat="1" ht="25.2"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6427</v>
      </c>
    </row>
    <row r="3045" spans="1:13" s="1012" customFormat="1" ht="25.2" hidden="1" customHeight="1">
      <c r="A3045" s="1082">
        <f t="shared" si="181"/>
        <v>0</v>
      </c>
      <c r="B3045" s="1083" t="s">
        <v>794</v>
      </c>
      <c r="C3045" s="2830"/>
      <c r="D3045" s="2804"/>
      <c r="E3045" s="2802" t="s">
        <v>5332</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6427</v>
      </c>
    </row>
    <row r="3046" spans="1:13" s="1012" customFormat="1" ht="25.2" hidden="1" customHeight="1">
      <c r="A3046" s="1082">
        <f t="shared" si="181"/>
        <v>0</v>
      </c>
      <c r="B3046" s="1083" t="s">
        <v>798</v>
      </c>
      <c r="C3046" s="2830"/>
      <c r="D3046" s="2804"/>
      <c r="E3046" s="2802" t="s">
        <v>5321</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6427</v>
      </c>
    </row>
    <row r="3047" spans="1:13" s="1012" customFormat="1" ht="25.2" hidden="1" customHeight="1">
      <c r="A3047" s="1082">
        <f t="shared" si="181"/>
        <v>0</v>
      </c>
      <c r="B3047" s="1083" t="s">
        <v>902</v>
      </c>
      <c r="C3047" s="2868">
        <f>C3038</f>
        <v>10</v>
      </c>
      <c r="D3047" s="2804"/>
      <c r="E3047" s="2802" t="s">
        <v>5347</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6427</v>
      </c>
    </row>
    <row r="3048" spans="1:13" s="1012" customFormat="1" ht="25.2" hidden="1" customHeight="1">
      <c r="A3048" s="1082">
        <f t="shared" si="181"/>
        <v>0</v>
      </c>
      <c r="B3048" s="1083" t="s">
        <v>6270</v>
      </c>
      <c r="C3048" s="2867">
        <v>54</v>
      </c>
      <c r="D3048" s="2801"/>
      <c r="E3048" s="2802" t="s">
        <v>5341</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6427</v>
      </c>
    </row>
    <row r="3049" spans="1:13" s="1012" customFormat="1" ht="25.2" hidden="1" customHeight="1">
      <c r="A3049" s="1082">
        <f t="shared" si="181"/>
        <v>0</v>
      </c>
      <c r="B3049" s="1083" t="s">
        <v>6431</v>
      </c>
      <c r="C3049" s="2830"/>
      <c r="D3049" s="2791"/>
      <c r="E3049" s="2792"/>
      <c r="F3049" s="2793" t="str">
        <f t="shared" si="184"/>
        <v>Móng bê tông M200 nền tủ bù</v>
      </c>
      <c r="G3049" s="2794" t="str">
        <f t="shared" si="185"/>
        <v>Móng</v>
      </c>
      <c r="H3049" s="2795">
        <v>1</v>
      </c>
      <c r="I3049" s="2796">
        <v>1</v>
      </c>
      <c r="J3049" s="2806"/>
      <c r="K3049" s="2806"/>
      <c r="L3049" s="2785"/>
      <c r="M3049" s="930" t="s">
        <v>6427</v>
      </c>
    </row>
    <row r="3050" spans="1:13" s="1012" customFormat="1" ht="25.2"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6427</v>
      </c>
    </row>
    <row r="3051" spans="1:13" s="1012" customFormat="1" ht="25.2" hidden="1" customHeight="1">
      <c r="A3051" s="1082">
        <f t="shared" si="181"/>
        <v>0</v>
      </c>
      <c r="B3051" s="1083" t="s">
        <v>4406</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6427</v>
      </c>
    </row>
    <row r="3052" spans="1:13" s="1012" customFormat="1" ht="25.2"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6427</v>
      </c>
    </row>
    <row r="3053" spans="1:13" s="1012" customFormat="1" ht="25.2"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6427</v>
      </c>
    </row>
    <row r="3054" spans="1:13" s="1012" customFormat="1" ht="25.2"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6427</v>
      </c>
    </row>
    <row r="3055" spans="1:13" s="1012" customFormat="1" ht="25.2" hidden="1" customHeight="1">
      <c r="A3055" s="1082">
        <f t="shared" si="181"/>
        <v>0</v>
      </c>
      <c r="B3055" s="1083" t="s">
        <v>6433</v>
      </c>
      <c r="C3055" s="2830"/>
      <c r="D3055" s="2791"/>
      <c r="E3055" s="2792"/>
      <c r="F3055" s="2793" t="str">
        <f t="shared" si="184"/>
        <v>Tủ MCCB trạm 3 pha</v>
      </c>
      <c r="G3055" s="2794" t="str">
        <f t="shared" si="185"/>
        <v>bộ</v>
      </c>
      <c r="H3055" s="2795">
        <v>1</v>
      </c>
      <c r="I3055" s="2796">
        <v>1</v>
      </c>
      <c r="J3055" s="2806"/>
      <c r="K3055" s="2806"/>
      <c r="L3055" s="2785"/>
      <c r="M3055" s="930" t="s">
        <v>6427</v>
      </c>
    </row>
    <row r="3056" spans="1:13" s="1012" customFormat="1" ht="25.2"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6427</v>
      </c>
    </row>
    <row r="3057" spans="1:13" s="1012" customFormat="1" ht="25.2" hidden="1" customHeight="1">
      <c r="A3057" s="1082">
        <f t="shared" si="181"/>
        <v>0</v>
      </c>
      <c r="B3057" s="2780" t="s">
        <v>4840</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6427</v>
      </c>
    </row>
    <row r="3058" spans="1:13" s="1012" customFormat="1" ht="25.2"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6427</v>
      </c>
    </row>
    <row r="3059" spans="1:13" s="1012" customFormat="1" ht="25.2"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6427</v>
      </c>
    </row>
    <row r="3060" spans="1:13" s="1012" customFormat="1" ht="25.2" hidden="1" customHeight="1">
      <c r="A3060" s="1082">
        <f t="shared" si="181"/>
        <v>0</v>
      </c>
      <c r="B3060" s="1083" t="s">
        <v>6435</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6427</v>
      </c>
    </row>
    <row r="3061" spans="1:13" s="1012" customFormat="1" ht="25.2" hidden="1" customHeight="1">
      <c r="A3061" s="1082">
        <f t="shared" si="181"/>
        <v>0</v>
      </c>
      <c r="B3061" s="1083" t="s">
        <v>4447</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6427</v>
      </c>
    </row>
    <row r="3062" spans="1:13" s="1012" customFormat="1" ht="25.2" hidden="1" customHeight="1">
      <c r="A3062" s="1082">
        <f t="shared" si="181"/>
        <v>0</v>
      </c>
      <c r="B3062" s="1083" t="s">
        <v>6436</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6427</v>
      </c>
    </row>
    <row r="3063" spans="1:13" s="1012" customFormat="1" ht="25.2" hidden="1" customHeight="1">
      <c r="A3063" s="1082">
        <f t="shared" si="181"/>
        <v>0</v>
      </c>
      <c r="B3063" s="1083" t="s">
        <v>6437</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6427</v>
      </c>
    </row>
    <row r="3064" spans="1:13" s="1012" customFormat="1" ht="25.2" hidden="1" customHeight="1">
      <c r="A3064" s="1082">
        <f t="shared" si="181"/>
        <v>0</v>
      </c>
      <c r="B3064" s="1083" t="s">
        <v>4557</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6427</v>
      </c>
    </row>
    <row r="3065" spans="1:13" s="1012" customFormat="1" ht="25.2" hidden="1" customHeight="1">
      <c r="A3065" s="1082">
        <f t="shared" si="181"/>
        <v>0</v>
      </c>
      <c r="B3065" s="1083" t="s">
        <v>4558</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6427</v>
      </c>
    </row>
    <row r="3066" spans="1:13" s="1012" customFormat="1" ht="25.2"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6427</v>
      </c>
    </row>
    <row r="3067" spans="1:13" s="1012" customFormat="1" ht="25.2"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6427</v>
      </c>
    </row>
    <row r="3068" spans="1:13" s="1012" customFormat="1" ht="25.2"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6427</v>
      </c>
    </row>
    <row r="3069" spans="1:13" s="1012" customFormat="1" ht="25.2" hidden="1" customHeight="1">
      <c r="A3069" s="1082">
        <f t="shared" si="181"/>
        <v>0</v>
      </c>
      <c r="B3069" s="1083" t="s">
        <v>4460</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6427</v>
      </c>
    </row>
    <row r="3070" spans="1:13" s="1012" customFormat="1" ht="25.2" hidden="1" customHeight="1">
      <c r="A3070" s="1082">
        <f t="shared" si="181"/>
        <v>0</v>
      </c>
      <c r="B3070" s="1083" t="s">
        <v>5140</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6427</v>
      </c>
    </row>
    <row r="3071" spans="1:13" s="1012" customFormat="1" ht="25.2"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6427</v>
      </c>
    </row>
    <row r="3072" spans="1:13" s="1012" customFormat="1" ht="25.2"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6427</v>
      </c>
    </row>
    <row r="3073" spans="1:13" s="1012" customFormat="1" ht="25.2" hidden="1" customHeight="1">
      <c r="A3073" s="1082">
        <f t="shared" si="181"/>
        <v>0</v>
      </c>
      <c r="B3073" s="1083" t="s">
        <v>6439</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6427</v>
      </c>
    </row>
    <row r="3074" spans="1:13" s="1012" customFormat="1" ht="25.2"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6427</v>
      </c>
    </row>
    <row r="3075" spans="1:13" s="1012" customFormat="1" ht="25.2"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6427</v>
      </c>
    </row>
    <row r="3076" spans="1:13" s="1012" customFormat="1" ht="25.2"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6427</v>
      </c>
    </row>
    <row r="3077" spans="1:13" s="1012" customFormat="1" ht="25.2"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6427</v>
      </c>
    </row>
    <row r="3078" spans="1:13" s="1012" customFormat="1" ht="25.2"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6427</v>
      </c>
    </row>
    <row r="3079" spans="1:13" s="1012" customFormat="1" ht="25.2"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6427</v>
      </c>
    </row>
    <row r="3080" spans="1:13" s="1012" customFormat="1" ht="25.2"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6427</v>
      </c>
    </row>
    <row r="3081" spans="1:13" s="1012" customFormat="1" ht="25.2"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6427</v>
      </c>
    </row>
    <row r="3082" spans="1:13" s="1012" customFormat="1" ht="25.2" hidden="1" customHeight="1">
      <c r="A3082" s="1082">
        <f t="shared" si="198"/>
        <v>0</v>
      </c>
      <c r="B3082" s="1083" t="s">
        <v>6440</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6427</v>
      </c>
    </row>
    <row r="3083" spans="1:13" s="1012" customFormat="1" ht="25.2"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6427</v>
      </c>
    </row>
    <row r="3084" spans="1:13" s="1012" customFormat="1" ht="25.2" hidden="1" customHeight="1">
      <c r="A3084" s="1082">
        <f t="shared" si="198"/>
        <v>0</v>
      </c>
      <c r="B3084" s="1083" t="s">
        <v>6441</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6427</v>
      </c>
    </row>
    <row r="3085" spans="1:13" s="1012" customFormat="1" ht="25.2"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6427</v>
      </c>
    </row>
    <row r="3086" spans="1:13" s="1012" customFormat="1" ht="25.2"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6427</v>
      </c>
    </row>
    <row r="3087" spans="1:13" s="1012" customFormat="1" ht="25.2" hidden="1" customHeight="1">
      <c r="A3087" s="1082">
        <f t="shared" si="198"/>
        <v>0</v>
      </c>
      <c r="B3087" s="1083" t="s">
        <v>6441</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6427</v>
      </c>
    </row>
    <row r="3088" spans="1:13" s="1012" customFormat="1" ht="25.2"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6427</v>
      </c>
    </row>
    <row r="3089" spans="1:13" s="1012" customFormat="1" ht="25.2"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6427</v>
      </c>
    </row>
    <row r="3090" spans="1:13" s="1012" customFormat="1" ht="25.2"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6427</v>
      </c>
    </row>
    <row r="3091" spans="1:13" s="1012" customFormat="1" ht="25.2" hidden="1" customHeight="1">
      <c r="A3091" s="1082">
        <f t="shared" si="198"/>
        <v>0</v>
      </c>
      <c r="B3091" s="1083" t="s">
        <v>4763</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6427</v>
      </c>
    </row>
    <row r="3092" spans="1:13" s="1012" customFormat="1" ht="25.2"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6427</v>
      </c>
    </row>
    <row r="3093" spans="1:13" s="1012" customFormat="1" ht="25.2" hidden="1" customHeight="1">
      <c r="A3093" s="1082">
        <f t="shared" si="198"/>
        <v>0</v>
      </c>
      <c r="B3093" s="1083" t="s">
        <v>6442</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6427</v>
      </c>
    </row>
    <row r="3094" spans="1:13" s="1012" customFormat="1" ht="25.2"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6427</v>
      </c>
    </row>
    <row r="3095" spans="1:13" s="1012" customFormat="1" ht="25.2" hidden="1" customHeight="1">
      <c r="A3095" s="1082">
        <f t="shared" si="198"/>
        <v>0</v>
      </c>
      <c r="B3095" s="1083" t="s">
        <v>6443</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6427</v>
      </c>
    </row>
    <row r="3096" spans="1:13" s="1012" customFormat="1" ht="25.2"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6427</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7" priority="17"/>
  </conditionalFormatting>
  <conditionalFormatting sqref="B1320:C1320">
    <cfRule type="duplicateValues" dxfId="136" priority="16"/>
  </conditionalFormatting>
  <conditionalFormatting sqref="B1321:C1321">
    <cfRule type="duplicateValues" dxfId="135" priority="15"/>
  </conditionalFormatting>
  <conditionalFormatting sqref="B1321:C1321">
    <cfRule type="duplicateValues" dxfId="134" priority="14"/>
  </conditionalFormatting>
  <conditionalFormatting sqref="B1367:C1367">
    <cfRule type="duplicateValues" dxfId="133" priority="13"/>
  </conditionalFormatting>
  <conditionalFormatting sqref="B1367:C1367">
    <cfRule type="duplicateValues" dxfId="132" priority="12"/>
  </conditionalFormatting>
  <conditionalFormatting sqref="B1401:C1401">
    <cfRule type="duplicateValues" dxfId="131" priority="11"/>
  </conditionalFormatting>
  <conditionalFormatting sqref="B1401:C1401">
    <cfRule type="duplicateValues" dxfId="130" priority="10"/>
  </conditionalFormatting>
  <conditionalFormatting sqref="B1364:C1364">
    <cfRule type="duplicateValues" dxfId="129" priority="9"/>
  </conditionalFormatting>
  <conditionalFormatting sqref="B1364:C1364">
    <cfRule type="duplicateValues" dxfId="128" priority="8"/>
  </conditionalFormatting>
  <conditionalFormatting sqref="B1365:C1365">
    <cfRule type="duplicateValues" dxfId="127" priority="7"/>
  </conditionalFormatting>
  <conditionalFormatting sqref="B1365:C1365">
    <cfRule type="duplicateValues" dxfId="126" priority="6"/>
  </conditionalFormatting>
  <conditionalFormatting sqref="B1363:C1363">
    <cfRule type="duplicateValues" dxfId="125" priority="5"/>
  </conditionalFormatting>
  <conditionalFormatting sqref="B1363:C1363">
    <cfRule type="duplicateValues" dxfId="124" priority="4"/>
  </conditionalFormatting>
  <conditionalFormatting sqref="B3057">
    <cfRule type="duplicateValues" dxfId="123"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5"/>
  <sheetViews>
    <sheetView showZeros="0" zoomScale="90" zoomScaleNormal="90" workbookViewId="0">
      <pane ySplit="10" topLeftCell="A92" activePane="bottomLeft" state="frozen"/>
      <selection activeCell="D399" sqref="D399"/>
      <selection pane="bottomLeft" activeCell="P629" sqref="P629"/>
    </sheetView>
  </sheetViews>
  <sheetFormatPr defaultColWidth="8.90625" defaultRowHeight="13.2" outlineLevelRow="1" outlineLevelCol="1"/>
  <cols>
    <col min="1" max="1" width="8.1796875" style="1444" customWidth="1"/>
    <col min="2" max="2" width="9.453125" style="1443" customWidth="1"/>
    <col min="3" max="3" width="4.54296875" style="1696" customWidth="1"/>
    <col min="4" max="4" width="8.36328125" style="1400" customWidth="1"/>
    <col min="5" max="5" width="9.81640625" style="58" customWidth="1"/>
    <col min="6" max="6" width="48.36328125" style="951" customWidth="1"/>
    <col min="7" max="7" width="11.1796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90625" style="53" customWidth="1"/>
    <col min="20" max="20" width="11.453125" style="1857" customWidth="1"/>
    <col min="21" max="16384" width="8.9062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16" t="s">
        <v>4807</v>
      </c>
      <c r="F6" s="3216"/>
      <c r="G6" s="3216"/>
      <c r="H6" s="3216"/>
      <c r="I6" s="3216"/>
      <c r="J6" s="3216"/>
      <c r="K6" s="3216"/>
      <c r="L6" s="3216"/>
      <c r="M6" s="3216"/>
      <c r="N6" s="3216"/>
      <c r="O6" s="3216"/>
      <c r="P6" s="3216"/>
      <c r="Q6" s="3216"/>
      <c r="R6" s="3216"/>
      <c r="S6" s="3216"/>
    </row>
    <row r="7" spans="1:20" ht="21.75" customHeight="1">
      <c r="D7" s="1402"/>
      <c r="E7" s="3217" t="str">
        <f>CT_tram!D20</f>
        <v>Công trình: Xây dựng mới TBA 3P-1000kVA Công ty cổ phần Xuân Trường Solar</v>
      </c>
      <c r="F7" s="3217"/>
      <c r="G7" s="3217"/>
      <c r="H7" s="3217"/>
      <c r="I7" s="3217"/>
      <c r="J7" s="3217"/>
      <c r="K7" s="3217"/>
      <c r="L7" s="3217"/>
      <c r="M7" s="3217"/>
      <c r="N7" s="3217"/>
      <c r="O7" s="3217"/>
      <c r="P7" s="3217"/>
      <c r="Q7" s="3217"/>
      <c r="R7" s="3217"/>
      <c r="S7" s="3217"/>
    </row>
    <row r="8" spans="1:20" ht="18.75" customHeight="1">
      <c r="D8" s="1401"/>
      <c r="E8" s="3218" t="str">
        <f>CT_tram!D21</f>
        <v>Địa điểm: Xã Xuân Hưng - Huyện Xuân Lộc - Tỉnh Đồng Nai</v>
      </c>
      <c r="F8" s="3218"/>
      <c r="G8" s="3218"/>
      <c r="H8" s="3218"/>
      <c r="I8" s="3218"/>
      <c r="J8" s="3218"/>
      <c r="K8" s="3218"/>
      <c r="L8" s="3218"/>
      <c r="M8" s="3218"/>
      <c r="N8" s="3218"/>
      <c r="O8" s="3218"/>
      <c r="P8" s="3218"/>
      <c r="Q8" s="3218"/>
      <c r="R8" s="3218"/>
      <c r="S8" s="3218"/>
    </row>
    <row r="9" spans="1:20" ht="21" customHeight="1">
      <c r="B9" s="1445" t="s">
        <v>2284</v>
      </c>
      <c r="C9" s="969" t="s">
        <v>512</v>
      </c>
      <c r="D9" s="1403" t="s">
        <v>4285</v>
      </c>
      <c r="E9" s="3214" t="s">
        <v>1708</v>
      </c>
      <c r="F9" s="3214" t="s">
        <v>2281</v>
      </c>
      <c r="G9" s="3214" t="s">
        <v>2593</v>
      </c>
      <c r="H9" s="1775" t="s">
        <v>4284</v>
      </c>
      <c r="I9" s="1677"/>
      <c r="J9" s="1677"/>
      <c r="K9" s="1677"/>
      <c r="L9" s="1677"/>
      <c r="M9" s="1677"/>
      <c r="N9" s="1677"/>
      <c r="O9" s="1677"/>
      <c r="P9" s="891"/>
      <c r="Q9" s="2670"/>
      <c r="R9" s="892"/>
      <c r="S9" s="3212" t="s">
        <v>2599</v>
      </c>
    </row>
    <row r="10" spans="1:20" ht="23.25" customHeight="1">
      <c r="B10" s="1446"/>
      <c r="C10" s="969" t="s">
        <v>512</v>
      </c>
      <c r="D10" s="1404" t="s">
        <v>4286</v>
      </c>
      <c r="E10" s="3215"/>
      <c r="F10" s="3215"/>
      <c r="G10" s="3215"/>
      <c r="H10" s="973" t="s">
        <v>4283</v>
      </c>
      <c r="I10" s="1678" t="s">
        <v>2322</v>
      </c>
      <c r="J10" s="1678" t="s">
        <v>2323</v>
      </c>
      <c r="K10" s="1678" t="s">
        <v>2324</v>
      </c>
      <c r="L10" s="1678" t="s">
        <v>190</v>
      </c>
      <c r="M10" s="1678" t="s">
        <v>191</v>
      </c>
      <c r="N10" s="1678" t="s">
        <v>2325</v>
      </c>
      <c r="O10" s="1678" t="s">
        <v>162</v>
      </c>
      <c r="P10" s="973" t="s">
        <v>4280</v>
      </c>
      <c r="Q10" s="973" t="s">
        <v>4464</v>
      </c>
      <c r="R10" s="998" t="s">
        <v>4465</v>
      </c>
      <c r="S10" s="3213"/>
      <c r="T10" s="1859" t="s">
        <v>4169</v>
      </c>
    </row>
    <row r="11" spans="1:20" ht="22.2" hidden="1"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2" hidden="1"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2"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2" hidden="1"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2" hidden="1"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2" hidden="1"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2" hidden="1"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2" hidden="1"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2" hidden="1"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2" hidden="1"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2" hidden="1"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2" hidden="1"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2" hidden="1"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2" hidden="1"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2" hidden="1"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2" hidden="1"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2" hidden="1"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2" hidden="1"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2" hidden="1"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2" hidden="1"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2" hidden="1"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2" hidden="1"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2" hidden="1"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2" hidden="1"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2" hidden="1"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2" hidden="1"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2" hidden="1"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2" hidden="1"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2" hidden="1"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2" hidden="1"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2" hidden="1"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2" hidden="1"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2" hidden="1"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2" hidden="1"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2" hidden="1"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2" hidden="1"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2" hidden="1"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2" hidden="1"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2" hidden="1"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2" hidden="1"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2" hidden="1"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2" hidden="1"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2" hidden="1"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2" hidden="1"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2" hidden="1"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2" hidden="1"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2" hidden="1"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2" hidden="1"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2" hidden="1"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2" hidden="1"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2" hidden="1"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2" hidden="1"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2" customHeight="1">
      <c r="A63" s="1444">
        <f>COUNTIF($C$12:C63,"x")</f>
        <v>2</v>
      </c>
      <c r="B63" s="1448" t="s">
        <v>958</v>
      </c>
      <c r="C63" s="59" t="str">
        <f t="shared" si="0"/>
        <v>x</v>
      </c>
      <c r="D63" s="1408"/>
      <c r="E63" s="977"/>
      <c r="F63" s="1272" t="s">
        <v>2333</v>
      </c>
      <c r="G63" s="978" t="s">
        <v>2327</v>
      </c>
      <c r="H63" s="1687">
        <f>SUM(I63:O63)</f>
        <v>1</v>
      </c>
      <c r="I63" s="1688"/>
      <c r="J63" s="1688"/>
      <c r="K63" s="1688">
        <f>IFERROR(HLOOKUP(B63,pp3p1m!$1:$3,2,0),0)</f>
        <v>1</v>
      </c>
      <c r="L63" s="1688">
        <f>IFERROR(HLOOKUP(chitiet!B63,pp1p!$1:$3,3,0),0)</f>
        <v>0</v>
      </c>
      <c r="M63" s="1688"/>
      <c r="N63" s="1688"/>
      <c r="O63" s="1688"/>
      <c r="P63" s="1687">
        <f>T63</f>
        <v>1</v>
      </c>
      <c r="Q63" s="979">
        <f>IF(P63&gt;H63,P63-H63,0)</f>
        <v>0</v>
      </c>
      <c r="R63" s="979">
        <f>IF(H63&gt;P63,H63-P63,0)</f>
        <v>0</v>
      </c>
      <c r="S63" s="979"/>
      <c r="T63" s="1858">
        <f>IFERROR(HLOOKUP(B63,pp1p!$1:$3,3,0),0)+IFERROR(HLOOKUP(B63,pp3p1m!$1:$3,3,0),0)</f>
        <v>1</v>
      </c>
    </row>
    <row r="64" spans="1:20" ht="22.2" hidden="1"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0.13500000000000001</v>
      </c>
      <c r="I64" s="1690"/>
      <c r="J64" s="1690"/>
      <c r="K64" s="1690"/>
      <c r="L64" s="1690"/>
      <c r="M64" s="1690"/>
      <c r="N64" s="1690"/>
      <c r="O64" s="1690"/>
      <c r="P64" s="1690">
        <f>$P$63*D64</f>
        <v>0.13500000000000001</v>
      </c>
      <c r="Q64" s="987"/>
      <c r="R64" s="987"/>
      <c r="S64" s="987"/>
      <c r="T64" s="1858">
        <f t="shared" si="1"/>
        <v>0</v>
      </c>
    </row>
    <row r="65" spans="1:20" ht="22.2" hidden="1"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0.13500000000000001</v>
      </c>
      <c r="I65" s="1690"/>
      <c r="J65" s="1690"/>
      <c r="K65" s="1690"/>
      <c r="L65" s="1690"/>
      <c r="M65" s="1690"/>
      <c r="N65" s="1690"/>
      <c r="O65" s="1690"/>
      <c r="P65" s="1690">
        <f>$P$63*D65</f>
        <v>0.13500000000000001</v>
      </c>
      <c r="Q65" s="987"/>
      <c r="R65" s="987"/>
      <c r="S65" s="987"/>
      <c r="T65" s="1858">
        <f t="shared" si="1"/>
        <v>0</v>
      </c>
    </row>
    <row r="66" spans="1:20" ht="22.2" hidden="1"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2" hidden="1"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2" hidden="1"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1</v>
      </c>
      <c r="L68" s="1690">
        <f t="shared" si="9"/>
        <v>0</v>
      </c>
      <c r="M68" s="1690">
        <f t="shared" ref="M68:O69" si="10">M$67*$D68</f>
        <v>0</v>
      </c>
      <c r="N68" s="1690">
        <f t="shared" si="10"/>
        <v>0</v>
      </c>
      <c r="O68" s="1690">
        <f t="shared" si="10"/>
        <v>0</v>
      </c>
      <c r="P68" s="1690"/>
      <c r="Q68" s="984"/>
      <c r="R68" s="984"/>
      <c r="S68" s="984"/>
      <c r="T68" s="1858">
        <f t="shared" si="1"/>
        <v>0</v>
      </c>
    </row>
    <row r="69" spans="1:20" ht="22.2" hidden="1"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1</v>
      </c>
      <c r="L69" s="1690">
        <f t="shared" si="9"/>
        <v>0</v>
      </c>
      <c r="M69" s="1690">
        <f t="shared" si="10"/>
        <v>0</v>
      </c>
      <c r="N69" s="1690">
        <f t="shared" si="10"/>
        <v>0</v>
      </c>
      <c r="O69" s="1690">
        <f t="shared" si="10"/>
        <v>0</v>
      </c>
      <c r="P69" s="1690"/>
      <c r="Q69" s="984"/>
      <c r="R69" s="984"/>
      <c r="S69" s="984"/>
      <c r="T69" s="1858">
        <f t="shared" si="1"/>
        <v>0</v>
      </c>
    </row>
    <row r="70" spans="1:20" ht="22.2" hidden="1"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2" hidden="1"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2" hidden="1"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2" hidden="1"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2" hidden="1"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2" hidden="1"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2" hidden="1"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2" hidden="1" customHeight="1">
      <c r="A77" s="1444">
        <f>COUNTIF($C$12:C77,"x")</f>
        <v>4</v>
      </c>
      <c r="B77" s="1450" t="s">
        <v>4412</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2" hidden="1"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2" hidden="1"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2" hidden="1"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2" hidden="1"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2" hidden="1"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2" hidden="1"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2" hidden="1"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2" hidden="1"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2" hidden="1"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2" hidden="1"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2" hidden="1"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2" hidden="1"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2" hidden="1"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2" hidden="1"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2" customHeight="1">
      <c r="A92" s="1444">
        <f>COUNTIF($C$12:C92,"x")</f>
        <v>5</v>
      </c>
      <c r="B92" s="1448" t="s">
        <v>2313</v>
      </c>
      <c r="C92" s="59" t="str">
        <f t="shared" si="13"/>
        <v>x</v>
      </c>
      <c r="D92" s="1408"/>
      <c r="E92" s="977"/>
      <c r="F92" s="1272" t="s">
        <v>6660</v>
      </c>
      <c r="G92" s="978" t="s">
        <v>2327</v>
      </c>
      <c r="H92" s="1687">
        <f>SUM(I92:O92)</f>
        <v>1</v>
      </c>
      <c r="I92" s="1688"/>
      <c r="J92" s="1688"/>
      <c r="K92" s="1688">
        <f>IFERROR(HLOOKUP(B92,pp3p1m!$1:$3,2,0),0)</f>
        <v>1</v>
      </c>
      <c r="L92" s="1688">
        <f>IFERROR(HLOOKUP(chitiet!B92,pp1p!$1:$3,3,0),0)</f>
        <v>0</v>
      </c>
      <c r="M92" s="1688"/>
      <c r="N92" s="1688"/>
      <c r="O92" s="1688"/>
      <c r="P92" s="2663">
        <f>T92</f>
        <v>1</v>
      </c>
      <c r="Q92" s="979">
        <f>IF(P92&gt;H92,P92-H92,0)</f>
        <v>0</v>
      </c>
      <c r="R92" s="979">
        <f>IF(H92&gt;P92,H92-P92,0)</f>
        <v>0</v>
      </c>
      <c r="S92" s="979"/>
      <c r="T92" s="1858">
        <f>IFERROR(HLOOKUP(B92,pp1p!$1:$3,3,0),0)+IFERROR(HLOOKUP(B92,pp3p1m!$1:$3,3,0),0)</f>
        <v>1</v>
      </c>
    </row>
    <row r="93" spans="1:20" ht="22.2" hidden="1" customHeight="1">
      <c r="A93" s="1444">
        <f>COUNTIF($C$12:C93,"x")</f>
        <v>6</v>
      </c>
      <c r="B93" s="1449" t="s">
        <v>751</v>
      </c>
      <c r="C93" s="60" t="str">
        <f t="shared" si="13"/>
        <v>x</v>
      </c>
      <c r="D93" s="1415">
        <v>235</v>
      </c>
      <c r="E93" s="980">
        <f>VLOOKUP($B93,DG!A:D,DG!$B$2,)</f>
        <v>0</v>
      </c>
      <c r="F93" s="981" t="str">
        <f>VLOOKUP($B93,DG!A:D,DG!$C$2,)</f>
        <v>Ximăng (PC40)</v>
      </c>
      <c r="G93" s="980" t="str">
        <f>VLOOKUP($B93,DG!A:D,DG!$D$2,)</f>
        <v>kg</v>
      </c>
      <c r="H93" s="1690">
        <f t="shared" ref="H93:H107" si="14">$H$92*D93</f>
        <v>235</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235</v>
      </c>
      <c r="Q93" s="984"/>
      <c r="R93" s="984"/>
      <c r="S93" s="984"/>
      <c r="T93" s="1858">
        <f t="shared" si="12"/>
        <v>0</v>
      </c>
    </row>
    <row r="94" spans="1:20" ht="22.2" hidden="1" customHeight="1">
      <c r="A94" s="1444">
        <f>COUNTIF($C$12:C94,"x")</f>
        <v>7</v>
      </c>
      <c r="B94" s="1450" t="s">
        <v>4412</v>
      </c>
      <c r="C94" s="60" t="str">
        <f t="shared" si="13"/>
        <v>x</v>
      </c>
      <c r="D94" s="1412">
        <v>0.33700000000000002</v>
      </c>
      <c r="E94" s="980">
        <f>VLOOKUP($B94,DG!A:D,DG!$B$2,)</f>
        <v>0</v>
      </c>
      <c r="F94" s="981" t="str">
        <f>VLOOKUP($B94,DG!A:D,DG!$C$2,)</f>
        <v>Cát vàng</v>
      </c>
      <c r="G94" s="980" t="str">
        <f>VLOOKUP($B94,DG!A:D,DG!$D$2,)</f>
        <v>m3</v>
      </c>
      <c r="H94" s="1690">
        <f t="shared" si="14"/>
        <v>0.33700000000000002</v>
      </c>
      <c r="I94" s="1690">
        <f t="shared" si="15"/>
        <v>0</v>
      </c>
      <c r="J94" s="1690">
        <f t="shared" si="15"/>
        <v>0</v>
      </c>
      <c r="K94" s="1690">
        <f t="shared" si="15"/>
        <v>0</v>
      </c>
      <c r="L94" s="1690">
        <f t="shared" si="15"/>
        <v>0</v>
      </c>
      <c r="M94" s="1690">
        <f t="shared" si="15"/>
        <v>0</v>
      </c>
      <c r="N94" s="1690">
        <f t="shared" si="15"/>
        <v>0</v>
      </c>
      <c r="O94" s="1690">
        <f t="shared" si="15"/>
        <v>0</v>
      </c>
      <c r="P94" s="1688">
        <f>H94+Q94-R94</f>
        <v>0.33700000000000002</v>
      </c>
      <c r="Q94" s="984"/>
      <c r="R94" s="984"/>
      <c r="S94" s="984"/>
      <c r="T94" s="1858">
        <f t="shared" si="12"/>
        <v>0</v>
      </c>
    </row>
    <row r="95" spans="1:20" ht="22.2" hidden="1" customHeight="1">
      <c r="A95" s="1444">
        <f>COUNTIF($C$12:C95,"x")</f>
        <v>8</v>
      </c>
      <c r="B95" s="1449" t="s">
        <v>867</v>
      </c>
      <c r="C95" s="60" t="str">
        <f t="shared" si="13"/>
        <v>x</v>
      </c>
      <c r="D95" s="1412">
        <v>0.7</v>
      </c>
      <c r="E95" s="980">
        <f>VLOOKUP($B95,DG!A:D,DG!$B$2,)</f>
        <v>0</v>
      </c>
      <c r="F95" s="981" t="str">
        <f>VLOOKUP($B95,DG!A:D,DG!$C$2,)</f>
        <v>Đá 1x2</v>
      </c>
      <c r="G95" s="980" t="str">
        <f>VLOOKUP($B95,DG!A:D,DG!$D$2,)</f>
        <v>m3</v>
      </c>
      <c r="H95" s="1690">
        <f t="shared" si="14"/>
        <v>0.7</v>
      </c>
      <c r="I95" s="1690">
        <f t="shared" si="15"/>
        <v>0</v>
      </c>
      <c r="J95" s="1690">
        <f t="shared" si="15"/>
        <v>0</v>
      </c>
      <c r="K95" s="1690">
        <f t="shared" si="15"/>
        <v>0</v>
      </c>
      <c r="L95" s="1690">
        <f t="shared" si="15"/>
        <v>0</v>
      </c>
      <c r="M95" s="1690">
        <f t="shared" si="15"/>
        <v>0</v>
      </c>
      <c r="N95" s="1690">
        <f t="shared" si="15"/>
        <v>0</v>
      </c>
      <c r="O95" s="1690">
        <f t="shared" si="15"/>
        <v>0</v>
      </c>
      <c r="P95" s="1688">
        <f>H95+Q95-R95</f>
        <v>0.7</v>
      </c>
      <c r="Q95" s="1282"/>
      <c r="R95" s="1282"/>
      <c r="S95" s="1282"/>
      <c r="T95" s="1858">
        <f t="shared" si="12"/>
        <v>0</v>
      </c>
    </row>
    <row r="96" spans="1:20" ht="22.2" hidden="1" customHeight="1">
      <c r="A96" s="1444">
        <f>COUNTIF($C$12:C96,"x")</f>
        <v>8</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2" hidden="1" customHeight="1">
      <c r="A97" s="1444">
        <f>COUNTIF($C$12:C97,"x")</f>
        <v>8</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2" hidden="1" customHeight="1">
      <c r="A98" s="1444">
        <f>COUNTIF($C$12:C98,"x")</f>
        <v>9</v>
      </c>
      <c r="B98" s="1449" t="s">
        <v>639</v>
      </c>
      <c r="C98" s="60" t="str">
        <f t="shared" si="13"/>
        <v>x</v>
      </c>
      <c r="D98" s="1412">
        <v>1.0609999999999999</v>
      </c>
      <c r="E98" s="980" t="str">
        <f>VLOOKUP($B98,DG!A:D,DG!$B$2,)</f>
        <v>03.1013</v>
      </c>
      <c r="F98" s="981" t="str">
        <f>VLOOKUP($B98,DG!A:D,DG!$C$2,)</f>
        <v>Đào hố móng đất cấp 3 sâu &gt;1m</v>
      </c>
      <c r="G98" s="980" t="str">
        <f>VLOOKUP($B98,DG!A:D,DG!$D$2,)</f>
        <v>m3</v>
      </c>
      <c r="H98" s="1690">
        <f t="shared" si="14"/>
        <v>1.0609999999999999</v>
      </c>
      <c r="I98" s="1690"/>
      <c r="J98" s="1690"/>
      <c r="K98" s="1690"/>
      <c r="L98" s="1690"/>
      <c r="M98" s="1690"/>
      <c r="N98" s="1690"/>
      <c r="O98" s="1690"/>
      <c r="P98" s="1688">
        <f>H98+Q98-R98</f>
        <v>1.0609999999999999</v>
      </c>
      <c r="Q98" s="1282"/>
      <c r="R98" s="1282"/>
      <c r="S98" s="1282"/>
      <c r="T98" s="1858">
        <f t="shared" si="12"/>
        <v>0</v>
      </c>
    </row>
    <row r="99" spans="1:20" ht="22.2" hidden="1" customHeight="1">
      <c r="A99" s="1444">
        <f>COUNTIF($C$12:C99,"x")</f>
        <v>10</v>
      </c>
      <c r="B99" s="1449" t="s">
        <v>21</v>
      </c>
      <c r="C99" s="60" t="str">
        <f t="shared" si="13"/>
        <v>x</v>
      </c>
      <c r="D99" s="1412">
        <v>0.14799999999999999</v>
      </c>
      <c r="E99" s="980" t="str">
        <f>VLOOKUP($B99,DG!A:D,DG!$B$2,)</f>
        <v>03.4113</v>
      </c>
      <c r="F99" s="981" t="str">
        <f>VLOOKUP($B99,DG!A:D,DG!$C$2,)</f>
        <v>Đắp đất hố móng, độ chặt k=0,95</v>
      </c>
      <c r="G99" s="980" t="str">
        <f>VLOOKUP($B99,DG!A:D,DG!$D$2,)</f>
        <v>m3</v>
      </c>
      <c r="H99" s="1690">
        <f t="shared" si="14"/>
        <v>0.14799999999999999</v>
      </c>
      <c r="I99" s="1690"/>
      <c r="J99" s="1690"/>
      <c r="K99" s="1690"/>
      <c r="L99" s="1690"/>
      <c r="M99" s="1690"/>
      <c r="N99" s="1690"/>
      <c r="O99" s="1690"/>
      <c r="P99" s="1688">
        <f>H99+Q99-R99</f>
        <v>0.14799999999999999</v>
      </c>
      <c r="Q99" s="984"/>
      <c r="R99" s="984"/>
      <c r="S99" s="984"/>
      <c r="T99" s="1858">
        <f t="shared" si="12"/>
        <v>0</v>
      </c>
    </row>
    <row r="100" spans="1:20" ht="22.2" hidden="1" customHeight="1">
      <c r="A100" s="1444">
        <f>COUNTIF($C$12:C100,"x")</f>
        <v>10</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2" hidden="1" customHeight="1">
      <c r="A101" s="1444">
        <f>COUNTIF($C$12:C101,"x")</f>
        <v>10</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2" hidden="1" customHeight="1">
      <c r="A102" s="1444">
        <f>COUNTIF($C$12:C102,"x")</f>
        <v>10</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2" hidden="1" customHeight="1">
      <c r="A103" s="1444">
        <f>COUNTIF($C$12:C103,"x")</f>
        <v>10</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2" hidden="1" customHeight="1">
      <c r="A104" s="1444">
        <f>COUNTIF($C$12:C104,"x")</f>
        <v>10</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2" hidden="1" customHeight="1">
      <c r="A105" s="1444">
        <f>COUNTIF($C$12:C105,"x")</f>
        <v>10</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2" hidden="1" customHeight="1">
      <c r="A106" s="1444">
        <f>COUNTIF($C$12:C106,"x")</f>
        <v>10</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2" hidden="1" customHeight="1">
      <c r="A107" s="1444">
        <f>COUNTIF($C$12:C107,"x")</f>
        <v>10</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2" hidden="1" customHeight="1">
      <c r="A108" s="1444">
        <f>COUNTIF($C$12:C108,"x")</f>
        <v>11</v>
      </c>
      <c r="B108" s="1449" t="s">
        <v>1836</v>
      </c>
      <c r="C108" s="60" t="str">
        <f t="shared" si="13"/>
        <v>x</v>
      </c>
      <c r="D108" s="1412">
        <v>0.7</v>
      </c>
      <c r="E108" s="980" t="str">
        <f>VLOOKUP($B108,DG!A:D,DG!$B$2,)</f>
        <v>04.1203c</v>
      </c>
      <c r="F108" s="981" t="str">
        <f>VLOOKUP($B108,DG!A:D,DG!$C$2,)</f>
        <v>Đổ bê tông móng trụ &lt;=250cm-M200 đá 1x2</v>
      </c>
      <c r="G108" s="980" t="str">
        <f>VLOOKUP($B108,DG!A:D,DG!$D$2,)</f>
        <v>m3</v>
      </c>
      <c r="H108" s="1690">
        <f t="shared" ref="H108" si="16">$H$92*D108</f>
        <v>0.7</v>
      </c>
      <c r="I108" s="1690"/>
      <c r="J108" s="1690"/>
      <c r="K108" s="1690"/>
      <c r="L108" s="1690"/>
      <c r="M108" s="1690"/>
      <c r="N108" s="1690"/>
      <c r="O108" s="1690"/>
      <c r="P108" s="1688">
        <f>H108+Q108-R108</f>
        <v>0.7</v>
      </c>
      <c r="Q108" s="1282"/>
      <c r="R108" s="1282"/>
      <c r="S108" s="1282"/>
      <c r="T108" s="1858">
        <f t="shared" si="12"/>
        <v>0</v>
      </c>
    </row>
    <row r="109" spans="1:20" ht="22.2" hidden="1" customHeight="1">
      <c r="A109" s="1444">
        <f>COUNTIF($C$12:C109,"x")</f>
        <v>11</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2" hidden="1" customHeight="1">
      <c r="A110" s="1444">
        <f>COUNTIF($C$12:C110,"x")</f>
        <v>11</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7">H$109*$D110</f>
        <v>0</v>
      </c>
      <c r="I110" s="1690">
        <f t="shared" si="17"/>
        <v>0</v>
      </c>
      <c r="J110" s="1690">
        <f t="shared" si="17"/>
        <v>0</v>
      </c>
      <c r="K110" s="1690">
        <f t="shared" si="17"/>
        <v>0</v>
      </c>
      <c r="L110" s="1690">
        <f t="shared" si="17"/>
        <v>0</v>
      </c>
      <c r="M110" s="1690">
        <f t="shared" si="17"/>
        <v>0</v>
      </c>
      <c r="N110" s="1690">
        <f t="shared" si="17"/>
        <v>0</v>
      </c>
      <c r="O110" s="1690">
        <f t="shared" si="17"/>
        <v>0</v>
      </c>
      <c r="P110" s="1690"/>
      <c r="Q110" s="984"/>
      <c r="R110" s="984"/>
      <c r="S110" s="984"/>
      <c r="T110" s="1858">
        <f t="shared" si="12"/>
        <v>0</v>
      </c>
    </row>
    <row r="111" spans="1:20" ht="22.2" hidden="1" customHeight="1">
      <c r="A111" s="1444">
        <f>COUNTIF($C$12:C111,"x")</f>
        <v>11</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7"/>
        <v>0</v>
      </c>
      <c r="I111" s="1690">
        <f t="shared" si="17"/>
        <v>0</v>
      </c>
      <c r="J111" s="1690">
        <f t="shared" si="17"/>
        <v>0</v>
      </c>
      <c r="K111" s="1690">
        <f t="shared" si="17"/>
        <v>0</v>
      </c>
      <c r="L111" s="1690">
        <f t="shared" si="17"/>
        <v>0</v>
      </c>
      <c r="M111" s="1690">
        <f t="shared" si="17"/>
        <v>0</v>
      </c>
      <c r="N111" s="1690">
        <f t="shared" si="17"/>
        <v>0</v>
      </c>
      <c r="O111" s="1690">
        <f t="shared" si="17"/>
        <v>0</v>
      </c>
      <c r="P111" s="1690"/>
      <c r="Q111" s="984"/>
      <c r="R111" s="984"/>
      <c r="S111" s="984"/>
      <c r="T111" s="1858">
        <f t="shared" si="12"/>
        <v>0</v>
      </c>
    </row>
    <row r="112" spans="1:20" ht="22.2" hidden="1" customHeight="1">
      <c r="A112" s="1444">
        <f>COUNTIF($C$12:C112,"x")</f>
        <v>11</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2" hidden="1" customHeight="1">
      <c r="A113" s="1444">
        <f>COUNTIF($C$12:C113,"x")</f>
        <v>11</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2" hidden="1" customHeight="1">
      <c r="A114" s="1444">
        <f>COUNTIF($C$12:C114,"x")</f>
        <v>11</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2" hidden="1" customHeight="1">
      <c r="A115" s="1444">
        <f>COUNTIF($C$12:C115,"x")</f>
        <v>11</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2" hidden="1" customHeight="1">
      <c r="A116" s="1444">
        <f>COUNTIF($C$12:C116,"x")</f>
        <v>11</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2" hidden="1" customHeight="1">
      <c r="A117" s="1444">
        <f>COUNTIF($C$12:C117,"x")</f>
        <v>11</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2" hidden="1" customHeight="1">
      <c r="A118" s="1444">
        <f>COUNTIF($C$12:C118,"x")</f>
        <v>11</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8">H$117*$D118</f>
        <v>0</v>
      </c>
      <c r="I118" s="1690">
        <f t="shared" si="18"/>
        <v>0</v>
      </c>
      <c r="J118" s="1690">
        <f t="shared" si="18"/>
        <v>0</v>
      </c>
      <c r="K118" s="1690">
        <f t="shared" si="18"/>
        <v>0</v>
      </c>
      <c r="L118" s="1690">
        <f t="shared" si="18"/>
        <v>0</v>
      </c>
      <c r="M118" s="1690">
        <f t="shared" si="18"/>
        <v>0</v>
      </c>
      <c r="N118" s="1690">
        <f t="shared" si="18"/>
        <v>0</v>
      </c>
      <c r="O118" s="1690"/>
      <c r="P118" s="1690"/>
      <c r="Q118" s="984"/>
      <c r="R118" s="984"/>
      <c r="S118" s="984"/>
      <c r="T118" s="1858">
        <f t="shared" si="12"/>
        <v>0</v>
      </c>
    </row>
    <row r="119" spans="1:20" ht="22.2" hidden="1" customHeight="1">
      <c r="A119" s="1444">
        <f>COUNTIF($C$12:C119,"x")</f>
        <v>11</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8"/>
        <v>0</v>
      </c>
      <c r="I119" s="1690">
        <f t="shared" si="18"/>
        <v>0</v>
      </c>
      <c r="J119" s="1690">
        <f t="shared" si="18"/>
        <v>0</v>
      </c>
      <c r="K119" s="1690">
        <f t="shared" si="18"/>
        <v>0</v>
      </c>
      <c r="L119" s="1690">
        <f t="shared" si="18"/>
        <v>0</v>
      </c>
      <c r="M119" s="1690">
        <f t="shared" si="18"/>
        <v>0</v>
      </c>
      <c r="N119" s="1690">
        <f t="shared" si="18"/>
        <v>0</v>
      </c>
      <c r="O119" s="1690"/>
      <c r="P119" s="1690"/>
      <c r="Q119" s="984"/>
      <c r="R119" s="984"/>
      <c r="S119" s="984"/>
      <c r="T119" s="1858">
        <f t="shared" si="12"/>
        <v>0</v>
      </c>
    </row>
    <row r="120" spans="1:20" ht="22.2" hidden="1" customHeight="1">
      <c r="A120" s="1444">
        <f>COUNTIF($C$12:C120,"x")</f>
        <v>11</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2" hidden="1" customHeight="1">
      <c r="A121" s="1444">
        <f>COUNTIF($C$12:C121,"x")</f>
        <v>11</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2" hidden="1" customHeight="1">
      <c r="A122" s="1444">
        <f>COUNTIF($C$12:C122,"x")</f>
        <v>11</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2" hidden="1" customHeight="1">
      <c r="A123" s="1444">
        <f>COUNTIF($C$12:C123,"x")</f>
        <v>11</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2" hidden="1" customHeight="1">
      <c r="A124" s="1444">
        <f>COUNTIF($C$12:C124,"x")</f>
        <v>11</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2" hidden="1" customHeight="1">
      <c r="A125" s="1444">
        <f>COUNTIF($C$12:C125,"x")</f>
        <v>11</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2" hidden="1" customHeight="1">
      <c r="A126" s="1444">
        <f>COUNTIF($C$12:C126,"x")</f>
        <v>11</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9">H$125*$D126</f>
        <v>0</v>
      </c>
      <c r="I126" s="1690">
        <f t="shared" si="19"/>
        <v>0</v>
      </c>
      <c r="J126" s="1690">
        <f t="shared" si="19"/>
        <v>0</v>
      </c>
      <c r="K126" s="1690">
        <f t="shared" si="19"/>
        <v>0</v>
      </c>
      <c r="L126" s="1690">
        <f t="shared" si="19"/>
        <v>0</v>
      </c>
      <c r="M126" s="1690">
        <f t="shared" si="19"/>
        <v>0</v>
      </c>
      <c r="N126" s="1690">
        <f t="shared" si="19"/>
        <v>0</v>
      </c>
      <c r="O126" s="1690"/>
      <c r="P126" s="1690"/>
      <c r="Q126" s="984"/>
      <c r="R126" s="984"/>
      <c r="S126" s="984"/>
      <c r="T126" s="1858">
        <f t="shared" si="12"/>
        <v>0</v>
      </c>
    </row>
    <row r="127" spans="1:20" ht="22.2" hidden="1" customHeight="1">
      <c r="A127" s="1444">
        <f>COUNTIF($C$12:C127,"x")</f>
        <v>11</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9"/>
        <v>0</v>
      </c>
      <c r="I127" s="1690">
        <f t="shared" si="19"/>
        <v>0</v>
      </c>
      <c r="J127" s="1690">
        <f t="shared" si="19"/>
        <v>0</v>
      </c>
      <c r="K127" s="1690">
        <f t="shared" si="19"/>
        <v>0</v>
      </c>
      <c r="L127" s="1690">
        <f t="shared" si="19"/>
        <v>0</v>
      </c>
      <c r="M127" s="1690">
        <f t="shared" si="19"/>
        <v>0</v>
      </c>
      <c r="N127" s="1690">
        <f t="shared" si="19"/>
        <v>0</v>
      </c>
      <c r="O127" s="1690"/>
      <c r="P127" s="1690"/>
      <c r="Q127" s="984"/>
      <c r="R127" s="984"/>
      <c r="S127" s="984"/>
      <c r="T127" s="1858">
        <f t="shared" si="12"/>
        <v>0</v>
      </c>
    </row>
    <row r="128" spans="1:20" ht="22.2" hidden="1" customHeight="1">
      <c r="A128" s="1444">
        <f>COUNTIF($C$12:C128,"x")</f>
        <v>11</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9"/>
        <v>0</v>
      </c>
      <c r="I128" s="1690">
        <f t="shared" si="19"/>
        <v>0</v>
      </c>
      <c r="J128" s="1690">
        <f t="shared" si="19"/>
        <v>0</v>
      </c>
      <c r="K128" s="1690">
        <f t="shared" si="19"/>
        <v>0</v>
      </c>
      <c r="L128" s="1690">
        <f t="shared" si="19"/>
        <v>0</v>
      </c>
      <c r="M128" s="1690">
        <f t="shared" si="19"/>
        <v>0</v>
      </c>
      <c r="N128" s="1690">
        <f t="shared" si="19"/>
        <v>0</v>
      </c>
      <c r="O128" s="1690"/>
      <c r="P128" s="1690"/>
      <c r="Q128" s="984"/>
      <c r="R128" s="984"/>
      <c r="S128" s="984"/>
      <c r="T128" s="1858">
        <f t="shared" si="12"/>
        <v>0</v>
      </c>
    </row>
    <row r="129" spans="1:20" ht="22.2" hidden="1" customHeight="1">
      <c r="A129" s="1444">
        <f>COUNTIF($C$12:C129,"x")</f>
        <v>11</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2" hidden="1" customHeight="1">
      <c r="A130" s="1444">
        <f>COUNTIF($C$12:C130,"x")</f>
        <v>11</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2" hidden="1" customHeight="1">
      <c r="A131" s="1444">
        <f>COUNTIF($C$12:C131,"x")</f>
        <v>11</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2" hidden="1" customHeight="1">
      <c r="A132" s="1444">
        <f>COUNTIF($C$12:C132,"x")</f>
        <v>11</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2" hidden="1" customHeight="1">
      <c r="A133" s="1444">
        <f>COUNTIF($C$12:C133,"x")</f>
        <v>11</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2" hidden="1" customHeight="1">
      <c r="A134" s="1444">
        <f>COUNTIF($C$12:C134,"x")</f>
        <v>11</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2" hidden="1" customHeight="1">
      <c r="A135" s="1444">
        <f>COUNTIF($C$12:C135,"x")</f>
        <v>11</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20">H$134*$D135</f>
        <v>0</v>
      </c>
      <c r="I135" s="1690">
        <f t="shared" si="20"/>
        <v>0</v>
      </c>
      <c r="J135" s="1690">
        <f t="shared" si="20"/>
        <v>0</v>
      </c>
      <c r="K135" s="1690">
        <f t="shared" si="20"/>
        <v>0</v>
      </c>
      <c r="L135" s="1690">
        <f t="shared" si="20"/>
        <v>0</v>
      </c>
      <c r="M135" s="1690">
        <f t="shared" si="20"/>
        <v>0</v>
      </c>
      <c r="N135" s="1690">
        <f t="shared" si="20"/>
        <v>0</v>
      </c>
      <c r="O135" s="1690"/>
      <c r="P135" s="1690"/>
      <c r="Q135" s="984"/>
      <c r="R135" s="984"/>
      <c r="S135" s="984"/>
      <c r="T135" s="1858">
        <f t="shared" si="12"/>
        <v>0</v>
      </c>
    </row>
    <row r="136" spans="1:20" ht="22.2" hidden="1" customHeight="1">
      <c r="A136" s="1444">
        <f>COUNTIF($C$12:C136,"x")</f>
        <v>11</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20"/>
        <v>0</v>
      </c>
      <c r="I136" s="1690">
        <f t="shared" si="20"/>
        <v>0</v>
      </c>
      <c r="J136" s="1690">
        <f t="shared" si="20"/>
        <v>0</v>
      </c>
      <c r="K136" s="1690">
        <f t="shared" si="20"/>
        <v>0</v>
      </c>
      <c r="L136" s="1690">
        <f t="shared" si="20"/>
        <v>0</v>
      </c>
      <c r="M136" s="1690">
        <f t="shared" si="20"/>
        <v>0</v>
      </c>
      <c r="N136" s="1690">
        <f t="shared" si="20"/>
        <v>0</v>
      </c>
      <c r="O136" s="1690"/>
      <c r="P136" s="1690"/>
      <c r="Q136" s="984"/>
      <c r="R136" s="984"/>
      <c r="S136" s="984"/>
      <c r="T136" s="1858">
        <f t="shared" si="12"/>
        <v>0</v>
      </c>
    </row>
    <row r="137" spans="1:20" ht="22.2" hidden="1" customHeight="1">
      <c r="A137" s="1444">
        <f>COUNTIF($C$12:C137,"x")</f>
        <v>11</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2" hidden="1" customHeight="1">
      <c r="A138" s="1444">
        <f>COUNTIF($C$12:C138,"x")</f>
        <v>11</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2" hidden="1" customHeight="1">
      <c r="A139" s="1444">
        <f>COUNTIF($C$12:C139,"x")</f>
        <v>11</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2" hidden="1" customHeight="1">
      <c r="A140" s="1444">
        <f>COUNTIF($C$12:C140,"x")</f>
        <v>11</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2" hidden="1" customHeight="1">
      <c r="A141" s="1444">
        <f>COUNTIF($C$12:C141,"x")</f>
        <v>11</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2" hidden="1" customHeight="1">
      <c r="A142" s="1444">
        <f>COUNTIF($C$12:C142,"x")</f>
        <v>11</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2" hidden="1" customHeight="1">
      <c r="A143" s="1444">
        <f>COUNTIF($C$12:C143,"x")</f>
        <v>11</v>
      </c>
      <c r="B143" s="1461" t="s">
        <v>636</v>
      </c>
      <c r="C143" s="60" t="str">
        <f t="shared" ref="C143:C206" si="21">IF(OR(P143&lt;&gt;0,H143&lt;&gt;0),"x"," ")</f>
        <v xml:space="preserve"> </v>
      </c>
      <c r="D143" s="1414">
        <v>2</v>
      </c>
      <c r="E143" s="976" t="str">
        <f>VLOOKUP($B143,DG!A:D,DG!$B$2,)</f>
        <v>04.4001</v>
      </c>
      <c r="F143" s="986" t="str">
        <f>VLOOKUP($B143,DG!A:D,DG!$C$2,)</f>
        <v>Đà cản BTCT 1,2m</v>
      </c>
      <c r="G143" s="980" t="str">
        <f>VLOOKUP($B143,DG!A:D,DG!$D$2,)</f>
        <v>cái</v>
      </c>
      <c r="H143" s="1690">
        <f t="shared" ref="H143:N144" si="22">H$142*$D143</f>
        <v>0</v>
      </c>
      <c r="I143" s="1690">
        <f t="shared" si="22"/>
        <v>0</v>
      </c>
      <c r="J143" s="1690">
        <f t="shared" si="22"/>
        <v>0</v>
      </c>
      <c r="K143" s="1690">
        <f t="shared" si="22"/>
        <v>0</v>
      </c>
      <c r="L143" s="1690">
        <f t="shared" si="22"/>
        <v>0</v>
      </c>
      <c r="M143" s="1690">
        <f t="shared" si="22"/>
        <v>0</v>
      </c>
      <c r="N143" s="1690">
        <f t="shared" si="22"/>
        <v>0</v>
      </c>
      <c r="O143" s="1690"/>
      <c r="P143" s="1690"/>
      <c r="Q143" s="984"/>
      <c r="R143" s="984"/>
      <c r="S143" s="984"/>
      <c r="T143" s="1858">
        <f t="shared" ref="T143:T204" si="23">IFERROR(HLOOKUP(B143,BangKeTru,3,0),0)</f>
        <v>0</v>
      </c>
    </row>
    <row r="144" spans="1:20" ht="22.2" hidden="1" customHeight="1">
      <c r="A144" s="1444">
        <f>COUNTIF($C$12:C144,"x")</f>
        <v>11</v>
      </c>
      <c r="B144" s="1451" t="s">
        <v>720</v>
      </c>
      <c r="C144" s="60" t="str">
        <f t="shared" si="21"/>
        <v xml:space="preserve"> </v>
      </c>
      <c r="D144" s="1414">
        <v>1</v>
      </c>
      <c r="E144" s="980"/>
      <c r="F144" s="986" t="str">
        <f>VLOOKUP($B144,DG!A:D,DG!$C$2,)</f>
        <v>Boulon 22x750+ 2 long đền vuông D24-50x50x3/Zn</v>
      </c>
      <c r="G144" s="980" t="str">
        <f>VLOOKUP($B144,DG!A:D,DG!$D$2,)</f>
        <v>bộ</v>
      </c>
      <c r="H144" s="1690">
        <f t="shared" si="22"/>
        <v>0</v>
      </c>
      <c r="I144" s="1690">
        <f t="shared" si="22"/>
        <v>0</v>
      </c>
      <c r="J144" s="1690">
        <f t="shared" si="22"/>
        <v>0</v>
      </c>
      <c r="K144" s="1690">
        <f t="shared" si="22"/>
        <v>0</v>
      </c>
      <c r="L144" s="1690">
        <f t="shared" si="22"/>
        <v>0</v>
      </c>
      <c r="M144" s="1690">
        <f t="shared" si="22"/>
        <v>0</v>
      </c>
      <c r="N144" s="1690">
        <f t="shared" si="22"/>
        <v>0</v>
      </c>
      <c r="O144" s="1690"/>
      <c r="P144" s="1690"/>
      <c r="Q144" s="984"/>
      <c r="R144" s="984"/>
      <c r="S144" s="984"/>
      <c r="T144" s="1858">
        <f t="shared" si="23"/>
        <v>0</v>
      </c>
    </row>
    <row r="145" spans="1:20" ht="22.2" hidden="1" customHeight="1">
      <c r="A145" s="1444">
        <f>COUNTIF($C$12:C145,"x")</f>
        <v>11</v>
      </c>
      <c r="B145" s="1451" t="s">
        <v>1812</v>
      </c>
      <c r="C145" s="60" t="str">
        <f t="shared" si="21"/>
        <v xml:space="preserve"> </v>
      </c>
      <c r="D145" s="1409">
        <v>0.155</v>
      </c>
      <c r="E145" s="976">
        <f>VLOOKUP($B145,DG!A:D,DG!$B$2,)</f>
        <v>0</v>
      </c>
      <c r="F145" s="981" t="str">
        <f>VLOOKUP($B145,DG!A:D,DG!$C$2,)</f>
        <v>Đá 2x4</v>
      </c>
      <c r="G145" s="976" t="str">
        <f>VLOOKUP($B145,DG!A:D,DG!$D$2,)</f>
        <v>m3</v>
      </c>
      <c r="H145" s="1689">
        <f t="shared" ref="H145:N145" si="24">H$18*$D145</f>
        <v>0</v>
      </c>
      <c r="I145" s="1689">
        <f t="shared" si="24"/>
        <v>0</v>
      </c>
      <c r="J145" s="1689">
        <f t="shared" si="24"/>
        <v>0</v>
      </c>
      <c r="K145" s="1689">
        <f t="shared" si="24"/>
        <v>0</v>
      </c>
      <c r="L145" s="1689">
        <f t="shared" si="24"/>
        <v>0</v>
      </c>
      <c r="M145" s="1689">
        <f t="shared" si="24"/>
        <v>0</v>
      </c>
      <c r="N145" s="1689">
        <f t="shared" si="24"/>
        <v>0</v>
      </c>
      <c r="O145" s="1689"/>
      <c r="P145" s="1689"/>
      <c r="Q145" s="985"/>
      <c r="R145" s="985"/>
      <c r="S145" s="985"/>
      <c r="T145" s="1858">
        <f t="shared" si="23"/>
        <v>0</v>
      </c>
    </row>
    <row r="146" spans="1:20" ht="22.2" hidden="1" customHeight="1">
      <c r="A146" s="1444">
        <f>COUNTIF($C$12:C146,"x")</f>
        <v>11</v>
      </c>
      <c r="B146" s="1461" t="s">
        <v>639</v>
      </c>
      <c r="C146" s="60" t="str">
        <f t="shared" si="21"/>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3"/>
        <v>0</v>
      </c>
    </row>
    <row r="147" spans="1:20" ht="22.2" hidden="1" customHeight="1">
      <c r="A147" s="1444">
        <f>COUNTIF($C$12:C147,"x")</f>
        <v>11</v>
      </c>
      <c r="B147" s="1461" t="s">
        <v>21</v>
      </c>
      <c r="C147" s="60" t="str">
        <f t="shared" si="21"/>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3"/>
        <v>0</v>
      </c>
    </row>
    <row r="148" spans="1:20" ht="22.2" hidden="1" customHeight="1">
      <c r="A148" s="1444">
        <f>COUNTIF($C$12:C148,"x")</f>
        <v>11</v>
      </c>
      <c r="B148" s="1461" t="s">
        <v>637</v>
      </c>
      <c r="C148" s="60" t="str">
        <f t="shared" si="21"/>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3"/>
        <v>0</v>
      </c>
    </row>
    <row r="149" spans="1:20" ht="22.2" hidden="1" customHeight="1">
      <c r="A149" s="1444">
        <f>COUNTIF($C$12:C149,"x")</f>
        <v>11</v>
      </c>
      <c r="B149" s="1449" t="s">
        <v>2063</v>
      </c>
      <c r="C149" s="60" t="str">
        <f t="shared" si="21"/>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3"/>
        <v>0</v>
      </c>
    </row>
    <row r="150" spans="1:20" ht="22.2" hidden="1" customHeight="1">
      <c r="A150" s="1444">
        <f>COUNTIF($C$12:C150,"x")</f>
        <v>11</v>
      </c>
      <c r="B150" s="1460" t="s">
        <v>674</v>
      </c>
      <c r="C150" s="60" t="str">
        <f t="shared" si="21"/>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3"/>
        <v>0</v>
      </c>
    </row>
    <row r="151" spans="1:20" ht="22.2" hidden="1" customHeight="1">
      <c r="A151" s="1444">
        <f>COUNTIF($C$12:C151,"x")</f>
        <v>11</v>
      </c>
      <c r="B151" s="1449" t="s">
        <v>635</v>
      </c>
      <c r="C151" s="60" t="str">
        <f t="shared" si="21"/>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3"/>
        <v>0</v>
      </c>
    </row>
    <row r="152" spans="1:20" ht="22.2" hidden="1" customHeight="1">
      <c r="A152" s="1444">
        <f>COUNTIF($C$12:C152,"x")</f>
        <v>11</v>
      </c>
      <c r="B152" s="1448" t="s">
        <v>12</v>
      </c>
      <c r="C152" s="59" t="str">
        <f t="shared" si="21"/>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2" hidden="1" customHeight="1">
      <c r="A153" s="1444">
        <f>COUNTIF($C$12:C153,"x")</f>
        <v>11</v>
      </c>
      <c r="B153" s="1461" t="s">
        <v>639</v>
      </c>
      <c r="C153" s="60" t="str">
        <f t="shared" si="21"/>
        <v xml:space="preserve"> </v>
      </c>
      <c r="D153" s="1412">
        <v>0.20100000000000001</v>
      </c>
      <c r="E153" s="980"/>
      <c r="F153" s="981" t="str">
        <f>VLOOKUP($B153,DG!A:D,DG!$C$2,)</f>
        <v>Đào hố móng đất cấp 3 sâu &gt;1m</v>
      </c>
      <c r="G153" s="980" t="str">
        <f>VLOOKUP($B153,DG!A:D,DG!$D$2,)</f>
        <v>m3</v>
      </c>
      <c r="H153" s="1690">
        <f>$H$152*$D153</f>
        <v>0</v>
      </c>
      <c r="I153" s="1690">
        <f t="shared" ref="I153:O153" si="25">I$244*$D153</f>
        <v>0</v>
      </c>
      <c r="J153" s="1690">
        <f t="shared" si="25"/>
        <v>0</v>
      </c>
      <c r="K153" s="1690">
        <f t="shared" si="25"/>
        <v>1.6080000000000001</v>
      </c>
      <c r="L153" s="1690">
        <f t="shared" si="25"/>
        <v>0</v>
      </c>
      <c r="M153" s="1690">
        <f t="shared" si="25"/>
        <v>0</v>
      </c>
      <c r="N153" s="1690">
        <f t="shared" si="25"/>
        <v>0</v>
      </c>
      <c r="O153" s="1690">
        <f t="shared" si="25"/>
        <v>0</v>
      </c>
      <c r="P153" s="1690"/>
      <c r="Q153" s="984"/>
      <c r="R153" s="984"/>
      <c r="S153" s="984"/>
      <c r="T153" s="1858">
        <f t="shared" si="23"/>
        <v>0</v>
      </c>
    </row>
    <row r="154" spans="1:20" ht="22.2" hidden="1" customHeight="1">
      <c r="A154" s="1444">
        <f>COUNTIF($C$12:C154,"x")</f>
        <v>11</v>
      </c>
      <c r="B154" s="1451" t="s">
        <v>21</v>
      </c>
      <c r="C154" s="60" t="str">
        <f t="shared" si="21"/>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6">I$18*$D154</f>
        <v>0</v>
      </c>
      <c r="J154" s="1689">
        <f t="shared" si="26"/>
        <v>0</v>
      </c>
      <c r="K154" s="1689">
        <f t="shared" si="26"/>
        <v>0</v>
      </c>
      <c r="L154" s="1689">
        <f t="shared" si="26"/>
        <v>0</v>
      </c>
      <c r="M154" s="1689">
        <f t="shared" si="26"/>
        <v>0</v>
      </c>
      <c r="N154" s="1689">
        <f t="shared" si="26"/>
        <v>0</v>
      </c>
      <c r="O154" s="1689">
        <f t="shared" si="26"/>
        <v>0</v>
      </c>
      <c r="P154" s="1689"/>
      <c r="Q154" s="985"/>
      <c r="R154" s="985"/>
      <c r="S154" s="985"/>
      <c r="T154" s="1858">
        <f t="shared" si="23"/>
        <v>0</v>
      </c>
    </row>
    <row r="155" spans="1:20" ht="22.2" hidden="1" customHeight="1">
      <c r="A155" s="1444">
        <f>COUNTIF($C$12:C155,"x")</f>
        <v>11</v>
      </c>
      <c r="B155" s="1449" t="s">
        <v>635</v>
      </c>
      <c r="C155" s="60" t="str">
        <f t="shared" si="21"/>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3"/>
        <v>0</v>
      </c>
    </row>
    <row r="156" spans="1:20" ht="22.2" hidden="1" customHeight="1">
      <c r="A156" s="1444">
        <f>COUNTIF($C$12:C156,"x")</f>
        <v>11</v>
      </c>
      <c r="B156" s="1448" t="s">
        <v>695</v>
      </c>
      <c r="C156" s="59" t="str">
        <f t="shared" si="21"/>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2" hidden="1" customHeight="1">
      <c r="A157" s="1444">
        <f>COUNTIF($C$12:C157,"x")</f>
        <v>11</v>
      </c>
      <c r="B157" s="1451" t="s">
        <v>636</v>
      </c>
      <c r="C157" s="60" t="str">
        <f t="shared" si="21"/>
        <v xml:space="preserve"> </v>
      </c>
      <c r="D157" s="1411">
        <v>1</v>
      </c>
      <c r="E157" s="976" t="str">
        <f>VLOOKUP($B157,DG!A:D,DG!$B$2,)</f>
        <v>04.4001</v>
      </c>
      <c r="F157" s="988" t="str">
        <f>VLOOKUP($B157,DG!A:D,DG!$C$2,)</f>
        <v>Đà cản BTCT 1,2m</v>
      </c>
      <c r="G157" s="976" t="str">
        <f>VLOOKUP($B157,DG!A:D,DG!$D$2,)</f>
        <v>cái</v>
      </c>
      <c r="H157" s="1689">
        <f t="shared" ref="H157:O158" si="27">H156*$D157</f>
        <v>0</v>
      </c>
      <c r="I157" s="1689">
        <f t="shared" si="27"/>
        <v>0</v>
      </c>
      <c r="J157" s="1689">
        <f t="shared" si="27"/>
        <v>0</v>
      </c>
      <c r="K157" s="1689">
        <f t="shared" si="27"/>
        <v>0</v>
      </c>
      <c r="L157" s="1689">
        <f t="shared" si="27"/>
        <v>0</v>
      </c>
      <c r="M157" s="1689">
        <f t="shared" si="27"/>
        <v>0</v>
      </c>
      <c r="N157" s="1689">
        <f t="shared" si="27"/>
        <v>0</v>
      </c>
      <c r="O157" s="1689">
        <f t="shared" si="27"/>
        <v>0</v>
      </c>
      <c r="P157" s="1689"/>
      <c r="Q157" s="985"/>
      <c r="R157" s="985"/>
      <c r="S157" s="985"/>
      <c r="T157" s="1858">
        <f t="shared" si="23"/>
        <v>0</v>
      </c>
    </row>
    <row r="158" spans="1:20" ht="22.2" hidden="1" customHeight="1">
      <c r="A158" s="1444">
        <f>COUNTIF($C$12:C158,"x")</f>
        <v>11</v>
      </c>
      <c r="B158" s="1451" t="s">
        <v>566</v>
      </c>
      <c r="C158" s="60" t="str">
        <f t="shared" si="21"/>
        <v xml:space="preserve"> </v>
      </c>
      <c r="D158" s="1411">
        <v>1</v>
      </c>
      <c r="E158" s="976"/>
      <c r="F158" s="988" t="str">
        <f>VLOOKUP($B158,DG!A:D,DG!$C$2,)</f>
        <v>Boulon 22x650+ 2 long đền vuông D24-50x50x3/Zn</v>
      </c>
      <c r="G158" s="976" t="str">
        <f>VLOOKUP($B158,DG!A:D,DG!$D$2,)</f>
        <v>bộ</v>
      </c>
      <c r="H158" s="1689">
        <f t="shared" si="27"/>
        <v>0</v>
      </c>
      <c r="I158" s="1689">
        <f t="shared" si="27"/>
        <v>0</v>
      </c>
      <c r="J158" s="1689">
        <f t="shared" si="27"/>
        <v>0</v>
      </c>
      <c r="K158" s="1689">
        <f t="shared" si="27"/>
        <v>0</v>
      </c>
      <c r="L158" s="1689">
        <f t="shared" si="27"/>
        <v>0</v>
      </c>
      <c r="M158" s="1689">
        <f t="shared" si="27"/>
        <v>0</v>
      </c>
      <c r="N158" s="1689">
        <f t="shared" si="27"/>
        <v>0</v>
      </c>
      <c r="O158" s="1689">
        <f t="shared" si="27"/>
        <v>0</v>
      </c>
      <c r="P158" s="1689"/>
      <c r="Q158" s="985"/>
      <c r="R158" s="985"/>
      <c r="S158" s="985"/>
      <c r="T158" s="1858">
        <f t="shared" si="23"/>
        <v>0</v>
      </c>
    </row>
    <row r="159" spans="1:20" ht="22.2" hidden="1" customHeight="1">
      <c r="A159" s="1444">
        <f>COUNTIF($C$12:C159,"x")</f>
        <v>11</v>
      </c>
      <c r="B159" s="1451" t="s">
        <v>639</v>
      </c>
      <c r="C159" s="60" t="str">
        <f t="shared" si="21"/>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3"/>
        <v>0</v>
      </c>
    </row>
    <row r="160" spans="1:20" ht="22.2" hidden="1" customHeight="1">
      <c r="A160" s="1444">
        <f>COUNTIF($C$12:C160,"x")</f>
        <v>11</v>
      </c>
      <c r="B160" s="1451" t="s">
        <v>21</v>
      </c>
      <c r="C160" s="60" t="str">
        <f t="shared" si="21"/>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3"/>
        <v>0</v>
      </c>
    </row>
    <row r="161" spans="1:20" ht="22.2" hidden="1" customHeight="1">
      <c r="A161" s="1444">
        <f>COUNTIF($C$12:C161,"x")</f>
        <v>11</v>
      </c>
      <c r="B161" s="1451" t="s">
        <v>637</v>
      </c>
      <c r="C161" s="60" t="str">
        <f t="shared" si="21"/>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3"/>
        <v>0</v>
      </c>
    </row>
    <row r="162" spans="1:20" ht="22.2" hidden="1" customHeight="1">
      <c r="A162" s="1444">
        <f>COUNTIF($C$12:C162,"x")</f>
        <v>11</v>
      </c>
      <c r="B162" s="1460" t="s">
        <v>2063</v>
      </c>
      <c r="C162" s="60" t="str">
        <f t="shared" si="21"/>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3"/>
        <v>0</v>
      </c>
    </row>
    <row r="163" spans="1:20" ht="22.2" hidden="1" customHeight="1">
      <c r="A163" s="1444">
        <f>COUNTIF($C$12:C163,"x")</f>
        <v>11</v>
      </c>
      <c r="B163" s="1460" t="s">
        <v>635</v>
      </c>
      <c r="C163" s="60" t="str">
        <f t="shared" si="21"/>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3"/>
        <v>0</v>
      </c>
    </row>
    <row r="164" spans="1:20" ht="22.2" hidden="1" customHeight="1">
      <c r="A164" s="1444">
        <f>COUNTIF($C$12:C164,"x")</f>
        <v>11</v>
      </c>
      <c r="B164" s="1448" t="s">
        <v>994</v>
      </c>
      <c r="C164" s="59" t="str">
        <f t="shared" si="21"/>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2" hidden="1" customHeight="1">
      <c r="A165" s="1444">
        <f>COUNTIF($C$12:C165,"x")</f>
        <v>11</v>
      </c>
      <c r="B165" s="1451" t="s">
        <v>1575</v>
      </c>
      <c r="C165" s="60" t="str">
        <f t="shared" si="21"/>
        <v xml:space="preserve"> </v>
      </c>
      <c r="D165" s="1411">
        <v>1</v>
      </c>
      <c r="E165" s="976" t="str">
        <f>VLOOKUP($B165,DG!A:D,DG!$B$2,)</f>
        <v>04.3801</v>
      </c>
      <c r="F165" s="988" t="str">
        <f>VLOOKUP($B165,DG!A:D,DG!$C$2,)</f>
        <v>Đà cản BTCT 1,5m</v>
      </c>
      <c r="G165" s="976" t="str">
        <f>VLOOKUP($B165,DG!A:D,DG!$D$2,)</f>
        <v>cái</v>
      </c>
      <c r="H165" s="1689">
        <f t="shared" ref="H165:N166" si="28">H$164*$D165</f>
        <v>0</v>
      </c>
      <c r="I165" s="1689">
        <f t="shared" si="28"/>
        <v>0</v>
      </c>
      <c r="J165" s="1689">
        <f t="shared" si="28"/>
        <v>0</v>
      </c>
      <c r="K165" s="1689">
        <f t="shared" si="28"/>
        <v>0</v>
      </c>
      <c r="L165" s="1689">
        <f t="shared" si="28"/>
        <v>0</v>
      </c>
      <c r="M165" s="1689">
        <f t="shared" si="28"/>
        <v>0</v>
      </c>
      <c r="N165" s="1689">
        <f t="shared" si="28"/>
        <v>0</v>
      </c>
      <c r="O165" s="1689"/>
      <c r="P165" s="1689"/>
      <c r="Q165" s="985"/>
      <c r="R165" s="985"/>
      <c r="S165" s="985"/>
      <c r="T165" s="1858">
        <f t="shared" si="23"/>
        <v>0</v>
      </c>
    </row>
    <row r="166" spans="1:20" ht="22.2" hidden="1" customHeight="1">
      <c r="A166" s="1444">
        <f>COUNTIF($C$12:C166,"x")</f>
        <v>11</v>
      </c>
      <c r="B166" s="1451" t="s">
        <v>566</v>
      </c>
      <c r="C166" s="60" t="str">
        <f t="shared" si="21"/>
        <v xml:space="preserve"> </v>
      </c>
      <c r="D166" s="1411">
        <v>1</v>
      </c>
      <c r="E166" s="976"/>
      <c r="F166" s="988" t="str">
        <f>VLOOKUP($B166,DG!A:D,DG!$C$2,)</f>
        <v>Boulon 22x650+ 2 long đền vuông D24-50x50x3/Zn</v>
      </c>
      <c r="G166" s="976" t="str">
        <f>VLOOKUP($B166,DG!A:D,DG!$D$2,)</f>
        <v>bộ</v>
      </c>
      <c r="H166" s="1689">
        <f t="shared" si="28"/>
        <v>0</v>
      </c>
      <c r="I166" s="1689">
        <f t="shared" si="28"/>
        <v>0</v>
      </c>
      <c r="J166" s="1689">
        <f t="shared" si="28"/>
        <v>0</v>
      </c>
      <c r="K166" s="1689">
        <f t="shared" si="28"/>
        <v>0</v>
      </c>
      <c r="L166" s="1689">
        <f t="shared" si="28"/>
        <v>0</v>
      </c>
      <c r="M166" s="1689">
        <f t="shared" si="28"/>
        <v>0</v>
      </c>
      <c r="N166" s="1689">
        <f t="shared" si="28"/>
        <v>0</v>
      </c>
      <c r="O166" s="1689"/>
      <c r="P166" s="1689"/>
      <c r="Q166" s="985"/>
      <c r="R166" s="985"/>
      <c r="S166" s="985"/>
      <c r="T166" s="1858">
        <f t="shared" si="23"/>
        <v>0</v>
      </c>
    </row>
    <row r="167" spans="1:20" ht="22.2" hidden="1" customHeight="1">
      <c r="A167" s="1444">
        <f>COUNTIF($C$12:C167,"x")</f>
        <v>11</v>
      </c>
      <c r="B167" s="1451" t="s">
        <v>1812</v>
      </c>
      <c r="C167" s="60" t="str">
        <f t="shared" si="21"/>
        <v xml:space="preserve"> </v>
      </c>
      <c r="D167" s="1409">
        <v>0.2</v>
      </c>
      <c r="E167" s="976">
        <f>VLOOKUP($B167,DG!A:D,DG!$B$2,)</f>
        <v>0</v>
      </c>
      <c r="F167" s="981" t="str">
        <f>VLOOKUP($B167,DG!A:D,DG!$C$2,)</f>
        <v>Đá 2x4</v>
      </c>
      <c r="G167" s="976" t="str">
        <f>VLOOKUP($B167,DG!A:D,DG!$D$2,)</f>
        <v>m3</v>
      </c>
      <c r="H167" s="1689">
        <f t="shared" ref="H167:N167" si="29">H$18*$D167</f>
        <v>0</v>
      </c>
      <c r="I167" s="1689">
        <f t="shared" si="29"/>
        <v>0</v>
      </c>
      <c r="J167" s="1689">
        <f t="shared" si="29"/>
        <v>0</v>
      </c>
      <c r="K167" s="1689">
        <f t="shared" si="29"/>
        <v>0</v>
      </c>
      <c r="L167" s="1689">
        <f t="shared" si="29"/>
        <v>0</v>
      </c>
      <c r="M167" s="1689">
        <f t="shared" si="29"/>
        <v>0</v>
      </c>
      <c r="N167" s="1689">
        <f t="shared" si="29"/>
        <v>0</v>
      </c>
      <c r="O167" s="1689"/>
      <c r="P167" s="1689"/>
      <c r="Q167" s="985"/>
      <c r="R167" s="985"/>
      <c r="S167" s="985"/>
      <c r="T167" s="1858">
        <f t="shared" si="23"/>
        <v>0</v>
      </c>
    </row>
    <row r="168" spans="1:20" ht="22.2" hidden="1" customHeight="1">
      <c r="A168" s="1444">
        <f>COUNTIF($C$12:C168,"x")</f>
        <v>11</v>
      </c>
      <c r="B168" s="1451" t="s">
        <v>639</v>
      </c>
      <c r="C168" s="60" t="str">
        <f t="shared" si="21"/>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3"/>
        <v>0</v>
      </c>
    </row>
    <row r="169" spans="1:20" ht="22.2" hidden="1" customHeight="1">
      <c r="A169" s="1444">
        <f>COUNTIF($C$12:C169,"x")</f>
        <v>11</v>
      </c>
      <c r="B169" s="1451" t="s">
        <v>21</v>
      </c>
      <c r="C169" s="60" t="str">
        <f t="shared" si="21"/>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3"/>
        <v>0</v>
      </c>
    </row>
    <row r="170" spans="1:20" ht="22.2" hidden="1" customHeight="1">
      <c r="A170" s="1444">
        <f>COUNTIF($C$12:C170,"x")</f>
        <v>11</v>
      </c>
      <c r="B170" s="1451" t="s">
        <v>637</v>
      </c>
      <c r="C170" s="60" t="str">
        <f t="shared" si="21"/>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3"/>
        <v>0</v>
      </c>
    </row>
    <row r="171" spans="1:20" ht="22.2" hidden="1" customHeight="1">
      <c r="A171" s="1444">
        <f>COUNTIF($C$12:C171,"x")</f>
        <v>11</v>
      </c>
      <c r="B171" s="1460" t="s">
        <v>2063</v>
      </c>
      <c r="C171" s="60" t="str">
        <f t="shared" si="21"/>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3"/>
        <v>0</v>
      </c>
    </row>
    <row r="172" spans="1:20" ht="22.2" hidden="1" customHeight="1">
      <c r="A172" s="1444">
        <f>COUNTIF($C$12:C172,"x")</f>
        <v>11</v>
      </c>
      <c r="B172" s="1460" t="s">
        <v>674</v>
      </c>
      <c r="C172" s="60" t="str">
        <f t="shared" si="21"/>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3"/>
        <v>0</v>
      </c>
    </row>
    <row r="173" spans="1:20" ht="22.2" hidden="1" customHeight="1">
      <c r="A173" s="1444">
        <f>COUNTIF($C$12:C173,"x")</f>
        <v>11</v>
      </c>
      <c r="B173" s="1460" t="s">
        <v>635</v>
      </c>
      <c r="C173" s="60" t="str">
        <f t="shared" si="21"/>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3"/>
        <v>0</v>
      </c>
    </row>
    <row r="174" spans="1:20" ht="22.2" hidden="1" customHeight="1">
      <c r="A174" s="1444">
        <f>COUNTIF($C$12:C174,"x")</f>
        <v>11</v>
      </c>
      <c r="B174" s="1448" t="s">
        <v>2303</v>
      </c>
      <c r="C174" s="59" t="str">
        <f t="shared" si="21"/>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2" hidden="1" customHeight="1">
      <c r="A175" s="1444">
        <f>COUNTIF($C$12:C175,"x")</f>
        <v>11</v>
      </c>
      <c r="B175" s="1449" t="s">
        <v>751</v>
      </c>
      <c r="C175" s="60" t="str">
        <f t="shared" si="21"/>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3"/>
        <v>0</v>
      </c>
    </row>
    <row r="176" spans="1:20" ht="22.2" hidden="1" customHeight="1">
      <c r="A176" s="1444">
        <f>COUNTIF($C$12:C176,"x")</f>
        <v>11</v>
      </c>
      <c r="B176" s="1450" t="s">
        <v>4412</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3"/>
        <v>0</v>
      </c>
    </row>
    <row r="177" spans="1:20" ht="22.2" hidden="1" customHeight="1">
      <c r="A177" s="1444">
        <f>COUNTIF($C$12:C177,"x")</f>
        <v>11</v>
      </c>
      <c r="B177" s="1449" t="s">
        <v>867</v>
      </c>
      <c r="C177" s="60" t="str">
        <f t="shared" si="21"/>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3"/>
        <v>0</v>
      </c>
    </row>
    <row r="178" spans="1:20" ht="22.2" hidden="1" customHeight="1">
      <c r="A178" s="1444">
        <f>COUNTIF($C$12:C178,"x")</f>
        <v>11</v>
      </c>
      <c r="B178" s="1449" t="s">
        <v>2008</v>
      </c>
      <c r="C178" s="60" t="str">
        <f t="shared" si="21"/>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3"/>
        <v>0</v>
      </c>
    </row>
    <row r="179" spans="1:20" ht="22.2" hidden="1" customHeight="1">
      <c r="A179" s="1444">
        <f>COUNTIF($C$12:C179,"x")</f>
        <v>11</v>
      </c>
      <c r="B179" s="1449" t="s">
        <v>1425</v>
      </c>
      <c r="C179" s="60" t="str">
        <f t="shared" si="21"/>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3"/>
        <v>0</v>
      </c>
    </row>
    <row r="180" spans="1:20" ht="22.2" hidden="1" customHeight="1">
      <c r="A180" s="1444">
        <f>COUNTIF($C$12:C180,"x")</f>
        <v>11</v>
      </c>
      <c r="B180" s="1449" t="s">
        <v>1226</v>
      </c>
      <c r="C180" s="60" t="str">
        <f t="shared" si="21"/>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3"/>
        <v>0</v>
      </c>
    </row>
    <row r="181" spans="1:20" ht="22.2" hidden="1" customHeight="1">
      <c r="A181" s="1444">
        <f>COUNTIF($C$12:C181,"x")</f>
        <v>11</v>
      </c>
      <c r="B181" s="1449" t="s">
        <v>639</v>
      </c>
      <c r="C181" s="60" t="str">
        <f t="shared" si="21"/>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3"/>
        <v>0</v>
      </c>
    </row>
    <row r="182" spans="1:20" ht="22.2" hidden="1" customHeight="1">
      <c r="A182" s="1444">
        <f>COUNTIF($C$12:C182,"x")</f>
        <v>11</v>
      </c>
      <c r="B182" s="1449" t="s">
        <v>21</v>
      </c>
      <c r="C182" s="60" t="str">
        <f t="shared" si="21"/>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3"/>
        <v>0</v>
      </c>
    </row>
    <row r="183" spans="1:20" ht="22.2" hidden="1" customHeight="1">
      <c r="A183" s="1444">
        <f>COUNTIF($C$12:C183,"x")</f>
        <v>11</v>
      </c>
      <c r="B183" s="1449" t="s">
        <v>1293</v>
      </c>
      <c r="C183" s="60" t="str">
        <f t="shared" si="21"/>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3"/>
        <v>0</v>
      </c>
    </row>
    <row r="184" spans="1:20" ht="22.2" hidden="1" customHeight="1">
      <c r="A184" s="1444">
        <f>COUNTIF($C$12:C184,"x")</f>
        <v>11</v>
      </c>
      <c r="B184" s="1449" t="s">
        <v>133</v>
      </c>
      <c r="C184" s="60" t="str">
        <f t="shared" si="21"/>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3"/>
        <v>0</v>
      </c>
    </row>
    <row r="185" spans="1:20" ht="22.2" hidden="1" customHeight="1">
      <c r="A185" s="1444">
        <f>COUNTIF($C$12:C185,"x")</f>
        <v>11</v>
      </c>
      <c r="B185" s="1449" t="s">
        <v>135</v>
      </c>
      <c r="C185" s="60" t="str">
        <f t="shared" si="21"/>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3"/>
        <v>0</v>
      </c>
    </row>
    <row r="186" spans="1:20" ht="22.2" hidden="1" customHeight="1">
      <c r="A186" s="1444">
        <f>COUNTIF($C$12:C186,"x")</f>
        <v>11</v>
      </c>
      <c r="B186" s="1449" t="s">
        <v>9</v>
      </c>
      <c r="C186" s="60" t="str">
        <f t="shared" si="21"/>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3"/>
        <v>0</v>
      </c>
    </row>
    <row r="187" spans="1:20" ht="22.2" hidden="1" customHeight="1">
      <c r="A187" s="1444">
        <f>COUNTIF($C$12:C187,"x")</f>
        <v>11</v>
      </c>
      <c r="B187" s="1449" t="s">
        <v>1835</v>
      </c>
      <c r="C187" s="60" t="str">
        <f t="shared" si="21"/>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3"/>
        <v>0</v>
      </c>
    </row>
    <row r="188" spans="1:20" ht="22.2" hidden="1" customHeight="1">
      <c r="A188" s="1444">
        <f>COUNTIF($C$12:C188,"x")</f>
        <v>11</v>
      </c>
      <c r="B188" s="1448" t="s">
        <v>100</v>
      </c>
      <c r="C188" s="59" t="str">
        <f t="shared" si="21"/>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2" hidden="1" customHeight="1">
      <c r="A189" s="1444">
        <f>COUNTIF($C$12:C189,"x")</f>
        <v>11</v>
      </c>
      <c r="B189" s="1451" t="s">
        <v>636</v>
      </c>
      <c r="C189" s="60" t="str">
        <f t="shared" si="21"/>
        <v xml:space="preserve"> </v>
      </c>
      <c r="D189" s="1411">
        <v>2</v>
      </c>
      <c r="E189" s="976" t="str">
        <f>VLOOKUP($B189,DG!A:D,DG!$B$2,)</f>
        <v>04.4001</v>
      </c>
      <c r="F189" s="988" t="str">
        <f>VLOOKUP($B189,DG!A:D,DG!$C$2,)</f>
        <v>Đà cản BTCT 1,2m</v>
      </c>
      <c r="G189" s="976" t="str">
        <f>VLOOKUP($B189,DG!A:D,DG!$D$2,)</f>
        <v>cái</v>
      </c>
      <c r="H189" s="1689">
        <f t="shared" ref="H189:N190" si="30">H$188*$D189</f>
        <v>0</v>
      </c>
      <c r="I189" s="1689">
        <f t="shared" si="30"/>
        <v>0</v>
      </c>
      <c r="J189" s="1689">
        <f t="shared" si="30"/>
        <v>0</v>
      </c>
      <c r="K189" s="1689">
        <f t="shared" si="30"/>
        <v>0</v>
      </c>
      <c r="L189" s="1689">
        <f t="shared" si="30"/>
        <v>0</v>
      </c>
      <c r="M189" s="1689">
        <f t="shared" si="30"/>
        <v>0</v>
      </c>
      <c r="N189" s="1689">
        <f t="shared" si="30"/>
        <v>0</v>
      </c>
      <c r="O189" s="1689"/>
      <c r="P189" s="1689"/>
      <c r="Q189" s="985"/>
      <c r="R189" s="985"/>
      <c r="S189" s="985"/>
      <c r="T189" s="1858">
        <f t="shared" si="23"/>
        <v>0</v>
      </c>
    </row>
    <row r="190" spans="1:20" ht="22.2" hidden="1" customHeight="1">
      <c r="A190" s="1444">
        <f>COUNTIF($C$12:C190,"x")</f>
        <v>11</v>
      </c>
      <c r="B190" s="1451" t="s">
        <v>566</v>
      </c>
      <c r="C190" s="60" t="str">
        <f t="shared" si="21"/>
        <v xml:space="preserve"> </v>
      </c>
      <c r="D190" s="1411">
        <v>2</v>
      </c>
      <c r="E190" s="976"/>
      <c r="F190" s="988" t="str">
        <f>VLOOKUP($B190,DG!A:D,DG!$C$2,)</f>
        <v>Boulon 22x650+ 2 long đền vuông D24-50x50x3/Zn</v>
      </c>
      <c r="G190" s="976" t="str">
        <f>VLOOKUP($B190,DG!A:D,DG!$D$2,)</f>
        <v>bộ</v>
      </c>
      <c r="H190" s="1689">
        <f t="shared" si="30"/>
        <v>0</v>
      </c>
      <c r="I190" s="1689">
        <f t="shared" si="30"/>
        <v>0</v>
      </c>
      <c r="J190" s="1689">
        <f t="shared" si="30"/>
        <v>0</v>
      </c>
      <c r="K190" s="1689">
        <f t="shared" si="30"/>
        <v>0</v>
      </c>
      <c r="L190" s="1689">
        <f t="shared" si="30"/>
        <v>0</v>
      </c>
      <c r="M190" s="1689">
        <f t="shared" si="30"/>
        <v>0</v>
      </c>
      <c r="N190" s="1689">
        <f t="shared" si="30"/>
        <v>0</v>
      </c>
      <c r="O190" s="1689"/>
      <c r="P190" s="1689"/>
      <c r="Q190" s="985"/>
      <c r="R190" s="985"/>
      <c r="S190" s="985"/>
      <c r="T190" s="1858">
        <f t="shared" si="23"/>
        <v>0</v>
      </c>
    </row>
    <row r="191" spans="1:20" ht="22.2" hidden="1" customHeight="1">
      <c r="A191" s="1444">
        <f>COUNTIF($C$12:C191,"x")</f>
        <v>11</v>
      </c>
      <c r="B191" s="1451" t="s">
        <v>639</v>
      </c>
      <c r="C191" s="60" t="str">
        <f t="shared" si="21"/>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3"/>
        <v>0</v>
      </c>
    </row>
    <row r="192" spans="1:20" ht="22.2" hidden="1" customHeight="1">
      <c r="A192" s="1444">
        <f>COUNTIF($C$12:C192,"x")</f>
        <v>11</v>
      </c>
      <c r="B192" s="1451" t="s">
        <v>21</v>
      </c>
      <c r="C192" s="60" t="str">
        <f t="shared" si="21"/>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3"/>
        <v>0</v>
      </c>
    </row>
    <row r="193" spans="1:20" ht="22.2" hidden="1" customHeight="1">
      <c r="A193" s="1444">
        <f>COUNTIF($C$12:C193,"x")</f>
        <v>11</v>
      </c>
      <c r="B193" s="1451" t="s">
        <v>637</v>
      </c>
      <c r="C193" s="60" t="str">
        <f t="shared" si="21"/>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3"/>
        <v>0</v>
      </c>
    </row>
    <row r="194" spans="1:20" ht="22.2" hidden="1" customHeight="1">
      <c r="A194" s="1444">
        <f>COUNTIF($C$12:C194,"x")</f>
        <v>11</v>
      </c>
      <c r="B194" s="1460" t="s">
        <v>2063</v>
      </c>
      <c r="C194" s="60" t="str">
        <f t="shared" si="21"/>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3"/>
        <v>0</v>
      </c>
    </row>
    <row r="195" spans="1:20" ht="22.2" hidden="1" customHeight="1">
      <c r="A195" s="1444">
        <f>COUNTIF($C$12:C195,"x")</f>
        <v>11</v>
      </c>
      <c r="B195" s="1460" t="s">
        <v>635</v>
      </c>
      <c r="C195" s="60" t="str">
        <f t="shared" si="21"/>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3"/>
        <v>0</v>
      </c>
    </row>
    <row r="196" spans="1:20" ht="22.2" hidden="1" customHeight="1">
      <c r="A196" s="1444">
        <f>COUNTIF($C$12:C196,"x")</f>
        <v>11</v>
      </c>
      <c r="B196" s="1448" t="s">
        <v>833</v>
      </c>
      <c r="C196" s="59" t="str">
        <f t="shared" si="21"/>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2" hidden="1" customHeight="1">
      <c r="A197" s="1444">
        <f>COUNTIF($C$12:C197,"x")</f>
        <v>11</v>
      </c>
      <c r="B197" s="1451" t="s">
        <v>636</v>
      </c>
      <c r="C197" s="60" t="str">
        <f t="shared" si="21"/>
        <v xml:space="preserve"> </v>
      </c>
      <c r="D197" s="1411">
        <v>1</v>
      </c>
      <c r="E197" s="976" t="str">
        <f>VLOOKUP($B197,DG!A:D,DG!$B$2,)</f>
        <v>04.4001</v>
      </c>
      <c r="F197" s="988" t="str">
        <f>VLOOKUP($B197,DG!A:D,DG!$C$2,)</f>
        <v>Đà cản BTCT 1,2m</v>
      </c>
      <c r="G197" s="976" t="str">
        <f>VLOOKUP($B197,DG!A:D,DG!$D$2,)</f>
        <v>cái</v>
      </c>
      <c r="H197" s="1689">
        <f t="shared" ref="H197:N199" si="31">H$196*$D197</f>
        <v>0</v>
      </c>
      <c r="I197" s="1689">
        <f t="shared" si="31"/>
        <v>0</v>
      </c>
      <c r="J197" s="1689">
        <f t="shared" si="31"/>
        <v>0</v>
      </c>
      <c r="K197" s="1689">
        <f t="shared" si="31"/>
        <v>0</v>
      </c>
      <c r="L197" s="1689">
        <f t="shared" si="31"/>
        <v>0</v>
      </c>
      <c r="M197" s="1689">
        <f t="shared" si="31"/>
        <v>0</v>
      </c>
      <c r="N197" s="1689">
        <f t="shared" si="31"/>
        <v>0</v>
      </c>
      <c r="O197" s="1689"/>
      <c r="P197" s="1689"/>
      <c r="Q197" s="985"/>
      <c r="R197" s="985"/>
      <c r="S197" s="985"/>
      <c r="T197" s="1858">
        <f t="shared" si="23"/>
        <v>0</v>
      </c>
    </row>
    <row r="198" spans="1:20" ht="22.2" hidden="1" customHeight="1">
      <c r="A198" s="1444">
        <f>COUNTIF($C$12:C198,"x")</f>
        <v>11</v>
      </c>
      <c r="B198" s="1451" t="s">
        <v>1575</v>
      </c>
      <c r="C198" s="60" t="str">
        <f t="shared" si="21"/>
        <v xml:space="preserve"> </v>
      </c>
      <c r="D198" s="1411">
        <v>1</v>
      </c>
      <c r="E198" s="976" t="str">
        <f>VLOOKUP($B198,DG!A:D,DG!$B$2,)</f>
        <v>04.3801</v>
      </c>
      <c r="F198" s="988" t="str">
        <f>VLOOKUP($B198,DG!A:D,DG!$C$2,)</f>
        <v>Đà cản BTCT 1,5m</v>
      </c>
      <c r="G198" s="976" t="str">
        <f>VLOOKUP($B198,DG!A:D,DG!$D$2,)</f>
        <v>cái</v>
      </c>
      <c r="H198" s="1689">
        <f t="shared" si="31"/>
        <v>0</v>
      </c>
      <c r="I198" s="1689">
        <f t="shared" si="31"/>
        <v>0</v>
      </c>
      <c r="J198" s="1689">
        <f t="shared" si="31"/>
        <v>0</v>
      </c>
      <c r="K198" s="1689">
        <f t="shared" si="31"/>
        <v>0</v>
      </c>
      <c r="L198" s="1689">
        <f t="shared" si="31"/>
        <v>0</v>
      </c>
      <c r="M198" s="1689">
        <f t="shared" si="31"/>
        <v>0</v>
      </c>
      <c r="N198" s="1689">
        <f t="shared" si="31"/>
        <v>0</v>
      </c>
      <c r="O198" s="1689"/>
      <c r="P198" s="1689"/>
      <c r="Q198" s="985"/>
      <c r="R198" s="985"/>
      <c r="S198" s="985"/>
      <c r="T198" s="1858">
        <f t="shared" si="23"/>
        <v>0</v>
      </c>
    </row>
    <row r="199" spans="1:20" ht="22.2" hidden="1" customHeight="1">
      <c r="A199" s="1444">
        <f>COUNTIF($C$12:C199,"x")</f>
        <v>11</v>
      </c>
      <c r="B199" s="1451" t="s">
        <v>566</v>
      </c>
      <c r="C199" s="60" t="str">
        <f t="shared" si="21"/>
        <v xml:space="preserve"> </v>
      </c>
      <c r="D199" s="1411">
        <v>2</v>
      </c>
      <c r="E199" s="976"/>
      <c r="F199" s="988" t="str">
        <f>VLOOKUP($B199,DG!A:D,DG!$C$2,)</f>
        <v>Boulon 22x650+ 2 long đền vuông D24-50x50x3/Zn</v>
      </c>
      <c r="G199" s="976" t="str">
        <f>VLOOKUP($B199,DG!A:D,DG!$D$2,)</f>
        <v>bộ</v>
      </c>
      <c r="H199" s="1689">
        <f t="shared" si="31"/>
        <v>0</v>
      </c>
      <c r="I199" s="1689">
        <f t="shared" si="31"/>
        <v>0</v>
      </c>
      <c r="J199" s="1689">
        <f t="shared" si="31"/>
        <v>0</v>
      </c>
      <c r="K199" s="1689">
        <f t="shared" si="31"/>
        <v>0</v>
      </c>
      <c r="L199" s="1689">
        <f t="shared" si="31"/>
        <v>0</v>
      </c>
      <c r="M199" s="1689">
        <f t="shared" si="31"/>
        <v>0</v>
      </c>
      <c r="N199" s="1689">
        <f t="shared" si="31"/>
        <v>0</v>
      </c>
      <c r="O199" s="1689"/>
      <c r="P199" s="1689"/>
      <c r="Q199" s="985"/>
      <c r="R199" s="985"/>
      <c r="S199" s="985"/>
      <c r="T199" s="1858">
        <f t="shared" si="23"/>
        <v>0</v>
      </c>
    </row>
    <row r="200" spans="1:20" ht="22.2" hidden="1" customHeight="1">
      <c r="A200" s="1444">
        <f>COUNTIF($C$12:C200,"x")</f>
        <v>11</v>
      </c>
      <c r="B200" s="1451" t="s">
        <v>639</v>
      </c>
      <c r="C200" s="60" t="str">
        <f t="shared" si="21"/>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3"/>
        <v>0</v>
      </c>
    </row>
    <row r="201" spans="1:20" ht="22.2" hidden="1" customHeight="1">
      <c r="A201" s="1444">
        <f>COUNTIF($C$12:C201,"x")</f>
        <v>11</v>
      </c>
      <c r="B201" s="1451" t="s">
        <v>21</v>
      </c>
      <c r="C201" s="60" t="str">
        <f t="shared" si="21"/>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3"/>
        <v>0</v>
      </c>
    </row>
    <row r="202" spans="1:20" ht="22.2" hidden="1" customHeight="1">
      <c r="A202" s="1444">
        <f>COUNTIF($C$12:C202,"x")</f>
        <v>11</v>
      </c>
      <c r="B202" s="1451" t="s">
        <v>1576</v>
      </c>
      <c r="C202" s="60" t="str">
        <f t="shared" si="21"/>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3"/>
        <v>0</v>
      </c>
    </row>
    <row r="203" spans="1:20" ht="22.2" hidden="1" customHeight="1">
      <c r="A203" s="1444">
        <f>COUNTIF($C$12:C203,"x")</f>
        <v>11</v>
      </c>
      <c r="B203" s="1460" t="s">
        <v>2063</v>
      </c>
      <c r="C203" s="60" t="str">
        <f t="shared" si="21"/>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3"/>
        <v>0</v>
      </c>
    </row>
    <row r="204" spans="1:20" ht="22.2" hidden="1" customHeight="1">
      <c r="A204" s="1444">
        <f>COUNTIF($C$12:C204,"x")</f>
        <v>11</v>
      </c>
      <c r="B204" s="1460" t="s">
        <v>635</v>
      </c>
      <c r="C204" s="60" t="str">
        <f t="shared" si="21"/>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3"/>
        <v>0</v>
      </c>
    </row>
    <row r="205" spans="1:20" ht="22.2" hidden="1" customHeight="1">
      <c r="A205" s="1444">
        <f>COUNTIF($C$12:C205,"x")</f>
        <v>11</v>
      </c>
      <c r="B205" s="1448" t="s">
        <v>834</v>
      </c>
      <c r="C205" s="59" t="str">
        <f t="shared" si="21"/>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2" hidden="1" customHeight="1">
      <c r="A206" s="1444">
        <f>COUNTIF($C$12:C206,"x")</f>
        <v>11</v>
      </c>
      <c r="B206" s="1451" t="s">
        <v>1575</v>
      </c>
      <c r="C206" s="60" t="str">
        <f t="shared" si="21"/>
        <v xml:space="preserve"> </v>
      </c>
      <c r="D206" s="1411">
        <v>2</v>
      </c>
      <c r="E206" s="976" t="str">
        <f>VLOOKUP($B206,DG!A:D,DG!$B$2,)</f>
        <v>04.3801</v>
      </c>
      <c r="F206" s="988" t="str">
        <f>VLOOKUP($B206,DG!A:D,DG!$C$2,)</f>
        <v>Đà cản BTCT 1,5m</v>
      </c>
      <c r="G206" s="976" t="str">
        <f>VLOOKUP($B206,DG!A:D,DG!$D$2,)</f>
        <v>cái</v>
      </c>
      <c r="H206" s="1689">
        <f t="shared" ref="H206:N207" si="32">H$205*$D206</f>
        <v>0</v>
      </c>
      <c r="I206" s="1689">
        <f t="shared" si="32"/>
        <v>0</v>
      </c>
      <c r="J206" s="1689">
        <f t="shared" si="32"/>
        <v>0</v>
      </c>
      <c r="K206" s="1689">
        <f t="shared" si="32"/>
        <v>0</v>
      </c>
      <c r="L206" s="1689">
        <f t="shared" si="32"/>
        <v>0</v>
      </c>
      <c r="M206" s="1689">
        <f t="shared" si="32"/>
        <v>0</v>
      </c>
      <c r="N206" s="1689">
        <f t="shared" si="32"/>
        <v>0</v>
      </c>
      <c r="O206" s="1689"/>
      <c r="P206" s="1689"/>
      <c r="Q206" s="985"/>
      <c r="R206" s="985"/>
      <c r="S206" s="985"/>
      <c r="T206" s="1858">
        <f t="shared" ref="T206:T269" si="33">IFERROR(HLOOKUP(B206,BangKeTru,3,0),0)</f>
        <v>0</v>
      </c>
    </row>
    <row r="207" spans="1:20" ht="22.2" hidden="1" customHeight="1">
      <c r="A207" s="1444">
        <f>COUNTIF($C$12:C207,"x")</f>
        <v>11</v>
      </c>
      <c r="B207" s="1451" t="s">
        <v>566</v>
      </c>
      <c r="C207" s="60" t="str">
        <f t="shared" ref="C207:C270" si="34">IF(OR(P207&lt;&gt;0,H207&lt;&gt;0),"x"," ")</f>
        <v xml:space="preserve"> </v>
      </c>
      <c r="D207" s="1411">
        <v>2</v>
      </c>
      <c r="E207" s="976"/>
      <c r="F207" s="988" t="str">
        <f>VLOOKUP($B207,DG!A:D,DG!$C$2,)</f>
        <v>Boulon 22x650+ 2 long đền vuông D24-50x50x3/Zn</v>
      </c>
      <c r="G207" s="976" t="str">
        <f>VLOOKUP($B207,DG!A:D,DG!$D$2,)</f>
        <v>bộ</v>
      </c>
      <c r="H207" s="1689">
        <f t="shared" si="32"/>
        <v>0</v>
      </c>
      <c r="I207" s="1689">
        <f t="shared" si="32"/>
        <v>0</v>
      </c>
      <c r="J207" s="1689">
        <f t="shared" si="32"/>
        <v>0</v>
      </c>
      <c r="K207" s="1689">
        <f t="shared" si="32"/>
        <v>0</v>
      </c>
      <c r="L207" s="1689">
        <f t="shared" si="32"/>
        <v>0</v>
      </c>
      <c r="M207" s="1689">
        <f t="shared" si="32"/>
        <v>0</v>
      </c>
      <c r="N207" s="1689">
        <f t="shared" si="32"/>
        <v>0</v>
      </c>
      <c r="O207" s="1689"/>
      <c r="P207" s="1689"/>
      <c r="Q207" s="985"/>
      <c r="R207" s="985"/>
      <c r="S207" s="985"/>
      <c r="T207" s="1858">
        <f t="shared" si="33"/>
        <v>0</v>
      </c>
    </row>
    <row r="208" spans="1:20" ht="22.2" hidden="1" customHeight="1">
      <c r="A208" s="1444">
        <f>COUNTIF($C$12:C208,"x")</f>
        <v>11</v>
      </c>
      <c r="B208" s="1451" t="s">
        <v>639</v>
      </c>
      <c r="C208" s="60" t="str">
        <f t="shared" si="34"/>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3"/>
        <v>0</v>
      </c>
    </row>
    <row r="209" spans="1:20" ht="22.2" hidden="1" customHeight="1">
      <c r="A209" s="1444">
        <f>COUNTIF($C$12:C209,"x")</f>
        <v>11</v>
      </c>
      <c r="B209" s="1451" t="s">
        <v>21</v>
      </c>
      <c r="C209" s="60" t="str">
        <f t="shared" si="34"/>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3"/>
        <v>0</v>
      </c>
    </row>
    <row r="210" spans="1:20" ht="22.2" hidden="1" customHeight="1">
      <c r="A210" s="1444">
        <f>COUNTIF($C$12:C210,"x")</f>
        <v>11</v>
      </c>
      <c r="B210" s="1451" t="s">
        <v>1576</v>
      </c>
      <c r="C210" s="60" t="str">
        <f t="shared" si="34"/>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3"/>
        <v>0</v>
      </c>
    </row>
    <row r="211" spans="1:20" ht="22.2" hidden="1" customHeight="1">
      <c r="A211" s="1444">
        <f>COUNTIF($C$12:C211,"x")</f>
        <v>11</v>
      </c>
      <c r="B211" s="1460" t="s">
        <v>2063</v>
      </c>
      <c r="C211" s="60" t="str">
        <f t="shared" si="34"/>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3"/>
        <v>0</v>
      </c>
    </row>
    <row r="212" spans="1:20" ht="22.2" hidden="1" customHeight="1">
      <c r="A212" s="1444">
        <f>COUNTIF($C$12:C212,"x")</f>
        <v>11</v>
      </c>
      <c r="B212" s="1460" t="s">
        <v>635</v>
      </c>
      <c r="C212" s="60" t="str">
        <f t="shared" si="34"/>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3"/>
        <v>0</v>
      </c>
    </row>
    <row r="213" spans="1:20" ht="22.2" hidden="1" customHeight="1">
      <c r="A213" s="1444">
        <f>COUNTIF($C$12:C213,"x")</f>
        <v>11</v>
      </c>
      <c r="B213" s="1448" t="s">
        <v>286</v>
      </c>
      <c r="C213" s="59" t="str">
        <f t="shared" si="34"/>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2" hidden="1" customHeight="1">
      <c r="A214" s="1444">
        <f>COUNTIF($C$12:C214,"x")</f>
        <v>11</v>
      </c>
      <c r="B214" s="1451" t="s">
        <v>224</v>
      </c>
      <c r="C214" s="60" t="str">
        <f t="shared" si="34"/>
        <v xml:space="preserve"> </v>
      </c>
      <c r="D214" s="1411">
        <v>42</v>
      </c>
      <c r="E214" s="976" t="str">
        <f>VLOOKUP($B214,DG!A:D,DG!$B$2,)</f>
        <v>04.5142</v>
      </c>
      <c r="F214" s="988" t="str">
        <f>VLOOKUP($B214,DG!A:D,DG!$C$2,)</f>
        <v>Cừ tràm 5m</v>
      </c>
      <c r="G214" s="976" t="str">
        <f>VLOOKUP($B214,DG!A:D,DG!$D$2,)</f>
        <v>cây</v>
      </c>
      <c r="H214" s="1689">
        <f t="shared" ref="H214:N216" si="35">H$213*$D214</f>
        <v>0</v>
      </c>
      <c r="I214" s="1689">
        <f t="shared" si="35"/>
        <v>0</v>
      </c>
      <c r="J214" s="1689">
        <f t="shared" si="35"/>
        <v>0</v>
      </c>
      <c r="K214" s="1689">
        <f t="shared" si="35"/>
        <v>0</v>
      </c>
      <c r="L214" s="1689">
        <f t="shared" si="35"/>
        <v>0</v>
      </c>
      <c r="M214" s="1689">
        <f t="shared" si="35"/>
        <v>0</v>
      </c>
      <c r="N214" s="1689">
        <f t="shared" si="35"/>
        <v>0</v>
      </c>
      <c r="O214" s="1689"/>
      <c r="P214" s="1689"/>
      <c r="Q214" s="985"/>
      <c r="R214" s="985"/>
      <c r="S214" s="985"/>
      <c r="T214" s="1858">
        <f t="shared" si="33"/>
        <v>0</v>
      </c>
    </row>
    <row r="215" spans="1:20" ht="22.2" hidden="1" customHeight="1">
      <c r="A215" s="1444">
        <f>COUNTIF($C$12:C215,"x")</f>
        <v>11</v>
      </c>
      <c r="B215" s="1451" t="s">
        <v>1575</v>
      </c>
      <c r="C215" s="60" t="str">
        <f t="shared" si="34"/>
        <v xml:space="preserve"> </v>
      </c>
      <c r="D215" s="1411">
        <v>2</v>
      </c>
      <c r="E215" s="976" t="str">
        <f>VLOOKUP($B215,DG!A:D,DG!$B$2,)</f>
        <v>04.3801</v>
      </c>
      <c r="F215" s="988" t="str">
        <f>VLOOKUP($B215,DG!A:D,DG!$C$2,)</f>
        <v>Đà cản BTCT 1,5m</v>
      </c>
      <c r="G215" s="976" t="str">
        <f>VLOOKUP($B215,DG!A:D,DG!$D$2,)</f>
        <v>cái</v>
      </c>
      <c r="H215" s="1689">
        <f t="shared" si="35"/>
        <v>0</v>
      </c>
      <c r="I215" s="1689">
        <f t="shared" si="35"/>
        <v>0</v>
      </c>
      <c r="J215" s="1689">
        <f t="shared" si="35"/>
        <v>0</v>
      </c>
      <c r="K215" s="1689">
        <f t="shared" si="35"/>
        <v>0</v>
      </c>
      <c r="L215" s="1689">
        <f t="shared" si="35"/>
        <v>0</v>
      </c>
      <c r="M215" s="1689">
        <f t="shared" si="35"/>
        <v>0</v>
      </c>
      <c r="N215" s="1689">
        <f t="shared" si="35"/>
        <v>0</v>
      </c>
      <c r="O215" s="1689"/>
      <c r="P215" s="1689"/>
      <c r="Q215" s="985"/>
      <c r="R215" s="985"/>
      <c r="S215" s="985"/>
      <c r="T215" s="1858">
        <f t="shared" si="33"/>
        <v>0</v>
      </c>
    </row>
    <row r="216" spans="1:20" ht="22.2" hidden="1" customHeight="1">
      <c r="A216" s="1444">
        <f>COUNTIF($C$12:C216,"x")</f>
        <v>11</v>
      </c>
      <c r="B216" s="1461" t="s">
        <v>416</v>
      </c>
      <c r="C216" s="60" t="str">
        <f t="shared" si="34"/>
        <v xml:space="preserve"> </v>
      </c>
      <c r="D216" s="1411">
        <v>1</v>
      </c>
      <c r="E216" s="976"/>
      <c r="F216" s="988" t="str">
        <f>VLOOKUP($B216,DG!A:D,DG!$C$2,)</f>
        <v>Boulon 22x800+ 2 long đền vuông D24-50x50x3/Zn</v>
      </c>
      <c r="G216" s="976" t="str">
        <f>VLOOKUP($B216,DG!A:D,DG!$D$2,)</f>
        <v>bộ</v>
      </c>
      <c r="H216" s="1689">
        <f t="shared" si="35"/>
        <v>0</v>
      </c>
      <c r="I216" s="1689">
        <f t="shared" si="35"/>
        <v>0</v>
      </c>
      <c r="J216" s="1689">
        <f t="shared" si="35"/>
        <v>0</v>
      </c>
      <c r="K216" s="1689">
        <f t="shared" si="35"/>
        <v>0</v>
      </c>
      <c r="L216" s="1689">
        <f t="shared" si="35"/>
        <v>0</v>
      </c>
      <c r="M216" s="1689">
        <f t="shared" si="35"/>
        <v>0</v>
      </c>
      <c r="N216" s="1689">
        <f t="shared" si="35"/>
        <v>0</v>
      </c>
      <c r="O216" s="1689"/>
      <c r="P216" s="1689"/>
      <c r="Q216" s="985"/>
      <c r="R216" s="985"/>
      <c r="S216" s="985"/>
      <c r="T216" s="1858">
        <f t="shared" si="33"/>
        <v>0</v>
      </c>
    </row>
    <row r="217" spans="1:20" ht="22.2" hidden="1" customHeight="1">
      <c r="A217" s="1444">
        <f>COUNTIF($C$12:C217,"x")</f>
        <v>11</v>
      </c>
      <c r="B217" s="1451" t="s">
        <v>639</v>
      </c>
      <c r="C217" s="60" t="str">
        <f t="shared" si="34"/>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3"/>
        <v>0</v>
      </c>
    </row>
    <row r="218" spans="1:20" ht="22.2" hidden="1" customHeight="1">
      <c r="A218" s="1444">
        <f>COUNTIF($C$12:C218,"x")</f>
        <v>11</v>
      </c>
      <c r="B218" s="1451" t="s">
        <v>21</v>
      </c>
      <c r="C218" s="60" t="str">
        <f t="shared" si="34"/>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3"/>
        <v>0</v>
      </c>
    </row>
    <row r="219" spans="1:20" ht="22.2" hidden="1" customHeight="1">
      <c r="A219" s="1444">
        <f>COUNTIF($C$12:C219,"x")</f>
        <v>11</v>
      </c>
      <c r="B219" s="1451" t="s">
        <v>1576</v>
      </c>
      <c r="C219" s="60" t="str">
        <f t="shared" si="34"/>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3"/>
        <v>0</v>
      </c>
    </row>
    <row r="220" spans="1:20" ht="22.2" hidden="1" customHeight="1">
      <c r="A220" s="1444">
        <f>COUNTIF($C$12:C220,"x")</f>
        <v>11</v>
      </c>
      <c r="B220" s="1451" t="s">
        <v>1577</v>
      </c>
      <c r="C220" s="60" t="str">
        <f t="shared" si="34"/>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3"/>
        <v>0</v>
      </c>
    </row>
    <row r="221" spans="1:20" ht="22.2" hidden="1" customHeight="1">
      <c r="A221" s="1444">
        <f>COUNTIF($C$12:C221,"x")</f>
        <v>11</v>
      </c>
      <c r="B221" s="1460" t="s">
        <v>2063</v>
      </c>
      <c r="C221" s="60" t="str">
        <f t="shared" si="34"/>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3"/>
        <v>0</v>
      </c>
    </row>
    <row r="222" spans="1:20" ht="22.2" hidden="1" customHeight="1">
      <c r="A222" s="1444">
        <f>COUNTIF($C$12:C222,"x")</f>
        <v>11</v>
      </c>
      <c r="B222" s="1462" t="s">
        <v>634</v>
      </c>
      <c r="C222" s="60" t="str">
        <f t="shared" si="34"/>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3"/>
        <v>0</v>
      </c>
    </row>
    <row r="223" spans="1:20" ht="22.2" hidden="1" customHeight="1">
      <c r="A223" s="1444">
        <f>COUNTIF($C$12:C223,"x")</f>
        <v>11</v>
      </c>
      <c r="B223" s="1460" t="s">
        <v>635</v>
      </c>
      <c r="C223" s="60" t="str">
        <f t="shared" si="34"/>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3"/>
        <v>0</v>
      </c>
    </row>
    <row r="224" spans="1:20" ht="22.2" hidden="1" customHeight="1">
      <c r="A224" s="1444">
        <f>COUNTIF($C$12:C224,"x")</f>
        <v>11</v>
      </c>
      <c r="B224" s="1448" t="s">
        <v>832</v>
      </c>
      <c r="C224" s="59" t="str">
        <f t="shared" si="34"/>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2" hidden="1" customHeight="1">
      <c r="A225" s="1444">
        <f>COUNTIF($C$12:C225,"x")</f>
        <v>11</v>
      </c>
      <c r="B225" s="1461" t="s">
        <v>636</v>
      </c>
      <c r="C225" s="60" t="str">
        <f t="shared" si="34"/>
        <v xml:space="preserve"> </v>
      </c>
      <c r="D225" s="1414">
        <v>2</v>
      </c>
      <c r="E225" s="976" t="str">
        <f>VLOOKUP($B225,DG!A:D,DG!$B$2,)</f>
        <v>04.4001</v>
      </c>
      <c r="F225" s="986" t="str">
        <f>VLOOKUP($B225,DG!A:D,DG!$C$2,)</f>
        <v>Đà cản BTCT 1,2m</v>
      </c>
      <c r="G225" s="980" t="str">
        <f>VLOOKUP($B225,DG!A:D,DG!$D$2,)</f>
        <v>cái</v>
      </c>
      <c r="H225" s="1690">
        <f t="shared" ref="H225:N226" si="36">H$224*$D225</f>
        <v>0</v>
      </c>
      <c r="I225" s="1690">
        <f t="shared" si="36"/>
        <v>0</v>
      </c>
      <c r="J225" s="1690">
        <f t="shared" si="36"/>
        <v>0</v>
      </c>
      <c r="K225" s="1690">
        <f t="shared" si="36"/>
        <v>0</v>
      </c>
      <c r="L225" s="1690">
        <f t="shared" si="36"/>
        <v>0</v>
      </c>
      <c r="M225" s="1690">
        <f t="shared" si="36"/>
        <v>0</v>
      </c>
      <c r="N225" s="1690">
        <f t="shared" si="36"/>
        <v>0</v>
      </c>
      <c r="O225" s="1690"/>
      <c r="P225" s="1690"/>
      <c r="Q225" s="984"/>
      <c r="R225" s="984"/>
      <c r="S225" s="984"/>
      <c r="T225" s="1858">
        <f t="shared" si="33"/>
        <v>0</v>
      </c>
    </row>
    <row r="226" spans="1:20" ht="22.2" hidden="1" customHeight="1">
      <c r="A226" s="1444">
        <f>COUNTIF($C$12:C226,"x")</f>
        <v>11</v>
      </c>
      <c r="B226" s="1461" t="s">
        <v>416</v>
      </c>
      <c r="C226" s="60" t="str">
        <f t="shared" si="34"/>
        <v xml:space="preserve"> </v>
      </c>
      <c r="D226" s="1414">
        <v>1</v>
      </c>
      <c r="E226" s="980"/>
      <c r="F226" s="986" t="str">
        <f>VLOOKUP($B226,DG!A:D,DG!$C$2,)</f>
        <v>Boulon 22x800+ 2 long đền vuông D24-50x50x3/Zn</v>
      </c>
      <c r="G226" s="980" t="str">
        <f>VLOOKUP($B226,DG!A:D,DG!$D$2,)</f>
        <v>bộ</v>
      </c>
      <c r="H226" s="1690">
        <f t="shared" si="36"/>
        <v>0</v>
      </c>
      <c r="I226" s="1690">
        <f t="shared" si="36"/>
        <v>0</v>
      </c>
      <c r="J226" s="1690">
        <f t="shared" si="36"/>
        <v>0</v>
      </c>
      <c r="K226" s="1690">
        <f t="shared" si="36"/>
        <v>0</v>
      </c>
      <c r="L226" s="1690">
        <f t="shared" si="36"/>
        <v>0</v>
      </c>
      <c r="M226" s="1690">
        <f t="shared" si="36"/>
        <v>0</v>
      </c>
      <c r="N226" s="1690">
        <f t="shared" si="36"/>
        <v>0</v>
      </c>
      <c r="O226" s="1690"/>
      <c r="P226" s="1690"/>
      <c r="Q226" s="984"/>
      <c r="R226" s="984"/>
      <c r="S226" s="984"/>
      <c r="T226" s="1858">
        <f t="shared" si="33"/>
        <v>0</v>
      </c>
    </row>
    <row r="227" spans="1:20" ht="22.2" hidden="1" customHeight="1">
      <c r="A227" s="1444">
        <f>COUNTIF($C$12:C227,"x")</f>
        <v>11</v>
      </c>
      <c r="B227" s="1451" t="s">
        <v>1812</v>
      </c>
      <c r="C227" s="60" t="str">
        <f t="shared" si="34"/>
        <v xml:space="preserve"> </v>
      </c>
      <c r="D227" s="1409">
        <v>0.2</v>
      </c>
      <c r="E227" s="976">
        <f>VLOOKUP($B227,DG!A:D,DG!$B$2,)</f>
        <v>0</v>
      </c>
      <c r="F227" s="981" t="str">
        <f>VLOOKUP($B227,DG!A:D,DG!$C$2,)</f>
        <v>Đá 2x4</v>
      </c>
      <c r="G227" s="976" t="str">
        <f>VLOOKUP($B227,DG!A:D,DG!$D$2,)</f>
        <v>m3</v>
      </c>
      <c r="H227" s="1689">
        <f t="shared" ref="H227:N227" si="37">H$18*$D227</f>
        <v>0</v>
      </c>
      <c r="I227" s="1689">
        <f t="shared" si="37"/>
        <v>0</v>
      </c>
      <c r="J227" s="1689">
        <f t="shared" si="37"/>
        <v>0</v>
      </c>
      <c r="K227" s="1689">
        <f t="shared" si="37"/>
        <v>0</v>
      </c>
      <c r="L227" s="1689">
        <f t="shared" si="37"/>
        <v>0</v>
      </c>
      <c r="M227" s="1689">
        <f t="shared" si="37"/>
        <v>0</v>
      </c>
      <c r="N227" s="1689">
        <f t="shared" si="37"/>
        <v>0</v>
      </c>
      <c r="O227" s="1689"/>
      <c r="P227" s="1689"/>
      <c r="Q227" s="985"/>
      <c r="R227" s="985"/>
      <c r="S227" s="985"/>
      <c r="T227" s="1858">
        <f t="shared" si="33"/>
        <v>0</v>
      </c>
    </row>
    <row r="228" spans="1:20" ht="22.2" hidden="1" customHeight="1">
      <c r="A228" s="1444">
        <f>COUNTIF($C$12:C228,"x")</f>
        <v>11</v>
      </c>
      <c r="B228" s="1461" t="s">
        <v>639</v>
      </c>
      <c r="C228" s="60" t="str">
        <f t="shared" si="34"/>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3"/>
        <v>0</v>
      </c>
    </row>
    <row r="229" spans="1:20" ht="22.2" hidden="1" customHeight="1">
      <c r="A229" s="1444">
        <f>COUNTIF($C$12:C229,"x")</f>
        <v>11</v>
      </c>
      <c r="B229" s="1461" t="s">
        <v>21</v>
      </c>
      <c r="C229" s="60" t="str">
        <f t="shared" si="34"/>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3"/>
        <v>0</v>
      </c>
    </row>
    <row r="230" spans="1:20" ht="22.2" hidden="1" customHeight="1">
      <c r="A230" s="1444">
        <f>COUNTIF($C$12:C230,"x")</f>
        <v>11</v>
      </c>
      <c r="B230" s="1461" t="s">
        <v>637</v>
      </c>
      <c r="C230" s="60" t="str">
        <f t="shared" si="34"/>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3"/>
        <v>0</v>
      </c>
    </row>
    <row r="231" spans="1:20" ht="22.2" hidden="1" customHeight="1">
      <c r="A231" s="1444">
        <f>COUNTIF($C$12:C231,"x")</f>
        <v>11</v>
      </c>
      <c r="B231" s="1449" t="s">
        <v>2063</v>
      </c>
      <c r="C231" s="60" t="str">
        <f t="shared" si="34"/>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3"/>
        <v>0</v>
      </c>
    </row>
    <row r="232" spans="1:20" ht="22.2" hidden="1" customHeight="1">
      <c r="A232" s="1444">
        <f>COUNTIF($C$12:C232,"x")</f>
        <v>11</v>
      </c>
      <c r="B232" s="1460" t="s">
        <v>674</v>
      </c>
      <c r="C232" s="60" t="str">
        <f t="shared" si="34"/>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3"/>
        <v>0</v>
      </c>
    </row>
    <row r="233" spans="1:20" ht="22.2" hidden="1" customHeight="1">
      <c r="A233" s="1444">
        <f>COUNTIF($C$12:C233,"x")</f>
        <v>11</v>
      </c>
      <c r="B233" s="1449" t="s">
        <v>635</v>
      </c>
      <c r="C233" s="60" t="str">
        <f t="shared" si="34"/>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3"/>
        <v>0</v>
      </c>
    </row>
    <row r="234" spans="1:20" ht="22.2" hidden="1" customHeight="1">
      <c r="A234" s="1444">
        <f>COUNTIF($C$12:C234,"x")</f>
        <v>11</v>
      </c>
      <c r="B234" s="1448" t="s">
        <v>760</v>
      </c>
      <c r="C234" s="59" t="str">
        <f t="shared" si="34"/>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2" hidden="1" customHeight="1">
      <c r="A235" s="1444">
        <f>COUNTIF($C$12:C235,"x")</f>
        <v>11</v>
      </c>
      <c r="B235" s="1461" t="s">
        <v>1575</v>
      </c>
      <c r="C235" s="60" t="str">
        <f t="shared" si="34"/>
        <v xml:space="preserve"> </v>
      </c>
      <c r="D235" s="1414">
        <v>2</v>
      </c>
      <c r="E235" s="976" t="str">
        <f>VLOOKUP($B235,DG!A:D,DG!$B$2,)</f>
        <v>04.3801</v>
      </c>
      <c r="F235" s="986" t="str">
        <f>VLOOKUP($B235,DG!A:D,DG!$C$2,)</f>
        <v>Đà cản BTCT 1,5m</v>
      </c>
      <c r="G235" s="980" t="str">
        <f>VLOOKUP($B235,DG!A:D,DG!$D$2,)</f>
        <v>cái</v>
      </c>
      <c r="H235" s="1690">
        <f t="shared" ref="H235:N236" si="38">H$234*$D235</f>
        <v>0</v>
      </c>
      <c r="I235" s="1690">
        <f t="shared" si="38"/>
        <v>0</v>
      </c>
      <c r="J235" s="1690">
        <f t="shared" si="38"/>
        <v>0</v>
      </c>
      <c r="K235" s="1690">
        <f t="shared" si="38"/>
        <v>0</v>
      </c>
      <c r="L235" s="1690">
        <f t="shared" si="38"/>
        <v>0</v>
      </c>
      <c r="M235" s="1690">
        <f t="shared" si="38"/>
        <v>0</v>
      </c>
      <c r="N235" s="1690">
        <f t="shared" si="38"/>
        <v>0</v>
      </c>
      <c r="O235" s="1690"/>
      <c r="P235" s="1690"/>
      <c r="Q235" s="984"/>
      <c r="R235" s="984"/>
      <c r="S235" s="984"/>
      <c r="T235" s="1858">
        <f t="shared" si="33"/>
        <v>0</v>
      </c>
    </row>
    <row r="236" spans="1:20" ht="22.2" hidden="1" customHeight="1">
      <c r="A236" s="1444">
        <f>COUNTIF($C$12:C236,"x")</f>
        <v>11</v>
      </c>
      <c r="B236" s="1461" t="s">
        <v>416</v>
      </c>
      <c r="C236" s="60" t="str">
        <f t="shared" si="34"/>
        <v xml:space="preserve"> </v>
      </c>
      <c r="D236" s="1414">
        <v>1</v>
      </c>
      <c r="E236" s="980"/>
      <c r="F236" s="986" t="str">
        <f>VLOOKUP($B236,DG!A:D,DG!$C$2,)</f>
        <v>Boulon 22x800+ 2 long đền vuông D24-50x50x3/Zn</v>
      </c>
      <c r="G236" s="980" t="str">
        <f>VLOOKUP($B236,DG!A:D,DG!$D$2,)</f>
        <v>bộ</v>
      </c>
      <c r="H236" s="1690">
        <f t="shared" si="38"/>
        <v>0</v>
      </c>
      <c r="I236" s="1690">
        <f t="shared" si="38"/>
        <v>0</v>
      </c>
      <c r="J236" s="1690">
        <f t="shared" si="38"/>
        <v>0</v>
      </c>
      <c r="K236" s="1690">
        <f t="shared" si="38"/>
        <v>0</v>
      </c>
      <c r="L236" s="1690">
        <f t="shared" si="38"/>
        <v>0</v>
      </c>
      <c r="M236" s="1690">
        <f t="shared" si="38"/>
        <v>0</v>
      </c>
      <c r="N236" s="1690">
        <f t="shared" si="38"/>
        <v>0</v>
      </c>
      <c r="O236" s="1690"/>
      <c r="P236" s="1690"/>
      <c r="Q236" s="984"/>
      <c r="R236" s="984"/>
      <c r="S236" s="984"/>
      <c r="T236" s="1858">
        <f t="shared" si="33"/>
        <v>0</v>
      </c>
    </row>
    <row r="237" spans="1:20" ht="22.2" hidden="1" customHeight="1">
      <c r="A237" s="1444">
        <f>COUNTIF($C$12:C237,"x")</f>
        <v>11</v>
      </c>
      <c r="B237" s="1451" t="s">
        <v>1812</v>
      </c>
      <c r="C237" s="60" t="str">
        <f t="shared" si="34"/>
        <v xml:space="preserve"> </v>
      </c>
      <c r="D237" s="1409">
        <v>0.2</v>
      </c>
      <c r="E237" s="976">
        <f>VLOOKUP($B237,DG!A:D,DG!$B$2,)</f>
        <v>0</v>
      </c>
      <c r="F237" s="981" t="str">
        <f>VLOOKUP($B237,DG!A:D,DG!$C$2,)</f>
        <v>Đá 2x4</v>
      </c>
      <c r="G237" s="976" t="str">
        <f>VLOOKUP($B237,DG!A:D,DG!$D$2,)</f>
        <v>m3</v>
      </c>
      <c r="H237" s="1689">
        <f t="shared" ref="H237:N237" si="39">H$18*$D237</f>
        <v>0</v>
      </c>
      <c r="I237" s="1689">
        <f t="shared" si="39"/>
        <v>0</v>
      </c>
      <c r="J237" s="1689">
        <f t="shared" si="39"/>
        <v>0</v>
      </c>
      <c r="K237" s="1689">
        <f t="shared" si="39"/>
        <v>0</v>
      </c>
      <c r="L237" s="1689">
        <f t="shared" si="39"/>
        <v>0</v>
      </c>
      <c r="M237" s="1689">
        <f t="shared" si="39"/>
        <v>0</v>
      </c>
      <c r="N237" s="1689">
        <f t="shared" si="39"/>
        <v>0</v>
      </c>
      <c r="O237" s="1689"/>
      <c r="P237" s="1689"/>
      <c r="Q237" s="985"/>
      <c r="R237" s="985"/>
      <c r="S237" s="985"/>
      <c r="T237" s="1858">
        <f t="shared" si="33"/>
        <v>0</v>
      </c>
    </row>
    <row r="238" spans="1:20" ht="22.2" hidden="1" customHeight="1">
      <c r="A238" s="1444">
        <f>COUNTIF($C$12:C238,"x")</f>
        <v>11</v>
      </c>
      <c r="B238" s="1461" t="s">
        <v>639</v>
      </c>
      <c r="C238" s="60" t="str">
        <f t="shared" si="34"/>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3"/>
        <v>0</v>
      </c>
    </row>
    <row r="239" spans="1:20" ht="22.2" hidden="1" customHeight="1">
      <c r="A239" s="1444">
        <f>COUNTIF($C$12:C239,"x")</f>
        <v>11</v>
      </c>
      <c r="B239" s="1461" t="s">
        <v>21</v>
      </c>
      <c r="C239" s="60" t="str">
        <f t="shared" si="34"/>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3"/>
        <v>0</v>
      </c>
    </row>
    <row r="240" spans="1:20" ht="22.2" hidden="1" customHeight="1">
      <c r="A240" s="1444">
        <f>COUNTIF($C$12:C240,"x")</f>
        <v>11</v>
      </c>
      <c r="B240" s="1461" t="s">
        <v>637</v>
      </c>
      <c r="C240" s="60" t="str">
        <f t="shared" si="34"/>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3"/>
        <v>0</v>
      </c>
    </row>
    <row r="241" spans="1:20" ht="22.2" hidden="1" customHeight="1">
      <c r="A241" s="1444">
        <f>COUNTIF($C$12:C241,"x")</f>
        <v>11</v>
      </c>
      <c r="B241" s="1449" t="s">
        <v>2063</v>
      </c>
      <c r="C241" s="60" t="str">
        <f t="shared" si="34"/>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3"/>
        <v>0</v>
      </c>
    </row>
    <row r="242" spans="1:20" ht="22.2" hidden="1" customHeight="1">
      <c r="A242" s="1444">
        <f>COUNTIF($C$12:C242,"x")</f>
        <v>11</v>
      </c>
      <c r="B242" s="1460" t="s">
        <v>674</v>
      </c>
      <c r="C242" s="60" t="str">
        <f t="shared" si="34"/>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3"/>
        <v>0</v>
      </c>
    </row>
    <row r="243" spans="1:20" ht="22.2" hidden="1" customHeight="1">
      <c r="A243" s="1444">
        <f>COUNTIF($C$12:C243,"x")</f>
        <v>11</v>
      </c>
      <c r="B243" s="1449" t="s">
        <v>635</v>
      </c>
      <c r="C243" s="60" t="str">
        <f t="shared" si="34"/>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3"/>
        <v>0</v>
      </c>
    </row>
    <row r="244" spans="1:20" ht="22.2" customHeight="1">
      <c r="A244" s="1444">
        <f>COUNTIF($C$12:C244,"x")</f>
        <v>12</v>
      </c>
      <c r="B244" s="1448" t="s">
        <v>219</v>
      </c>
      <c r="C244" s="969" t="str">
        <f t="shared" si="34"/>
        <v>x</v>
      </c>
      <c r="D244" s="1408"/>
      <c r="E244" s="977"/>
      <c r="F244" s="1272" t="s">
        <v>2351</v>
      </c>
      <c r="G244" s="978" t="s">
        <v>2327</v>
      </c>
      <c r="H244" s="1687">
        <f>SUM(I244:O244)</f>
        <v>8</v>
      </c>
      <c r="I244" s="1688"/>
      <c r="J244" s="1688"/>
      <c r="K244" s="1688">
        <f>IFERROR(HLOOKUP(B244,pp3p1m!$1:$3,2,0),0)</f>
        <v>8</v>
      </c>
      <c r="L244" s="1688">
        <f>IFERROR(HLOOKUP(chitiet!B244,pp1p!$1:$3,3,0),0)</f>
        <v>0</v>
      </c>
      <c r="M244" s="1688"/>
      <c r="N244" s="1688"/>
      <c r="O244" s="1688"/>
      <c r="P244" s="1687">
        <f>T244</f>
        <v>8</v>
      </c>
      <c r="Q244" s="2666">
        <f>IF(P244&gt;H244,P244-H244,0)</f>
        <v>0</v>
      </c>
      <c r="R244" s="1687">
        <f>IF(H244&gt;P244,H244-P244,0)</f>
        <v>0</v>
      </c>
      <c r="S244" s="979"/>
      <c r="T244" s="1858">
        <f>IFERROR(HLOOKUP(B244,pp1p!$1:$3,3,0),0)+IFERROR(HLOOKUP(B244,pp3p1m!$1:$3,3,0),0)</f>
        <v>8</v>
      </c>
    </row>
    <row r="245" spans="1:20" ht="22.2" hidden="1" customHeight="1">
      <c r="A245" s="1444">
        <f>COUNTIF($C$12:C245,"x")</f>
        <v>13</v>
      </c>
      <c r="B245" s="1447" t="s">
        <v>639</v>
      </c>
      <c r="C245" s="969" t="str">
        <f t="shared" si="34"/>
        <v>x</v>
      </c>
      <c r="D245" s="1412">
        <v>0.35299999999999998</v>
      </c>
      <c r="E245" s="980"/>
      <c r="F245" s="981" t="str">
        <f>VLOOKUP($B245,DG!A:D,DG!$C$2,)</f>
        <v>Đào hố móng đất cấp 3 sâu &gt;1m</v>
      </c>
      <c r="G245" s="980" t="str">
        <f>VLOOKUP($B245,DG!A:D,DG!$D$2,)</f>
        <v>m3</v>
      </c>
      <c r="H245" s="1690">
        <f t="shared" ref="H245:N245" si="40">H$244*$D245</f>
        <v>2.8239999999999998</v>
      </c>
      <c r="I245" s="1690">
        <f t="shared" si="40"/>
        <v>0</v>
      </c>
      <c r="J245" s="1690">
        <f t="shared" si="40"/>
        <v>0</v>
      </c>
      <c r="K245" s="1690">
        <f t="shared" si="40"/>
        <v>2.8239999999999998</v>
      </c>
      <c r="L245" s="1690">
        <f t="shared" si="40"/>
        <v>0</v>
      </c>
      <c r="M245" s="1690">
        <f t="shared" si="40"/>
        <v>0</v>
      </c>
      <c r="N245" s="1690">
        <f t="shared" si="40"/>
        <v>0</v>
      </c>
      <c r="O245" s="1690"/>
      <c r="P245" s="1690">
        <f>$P$244*D245</f>
        <v>2.8239999999999998</v>
      </c>
      <c r="Q245" s="2667">
        <f>$Q$244*D245</f>
        <v>0</v>
      </c>
      <c r="R245" s="1690">
        <f>$R$244*D245</f>
        <v>0</v>
      </c>
      <c r="S245" s="984"/>
      <c r="T245" s="1858">
        <f t="shared" si="33"/>
        <v>0</v>
      </c>
    </row>
    <row r="246" spans="1:20" ht="22.2" hidden="1" customHeight="1">
      <c r="A246" s="1444">
        <f>COUNTIF($C$12:C246,"x")</f>
        <v>14</v>
      </c>
      <c r="B246" s="1447" t="s">
        <v>21</v>
      </c>
      <c r="C246" s="969" t="str">
        <f t="shared" si="34"/>
        <v>x</v>
      </c>
      <c r="D246" s="1412">
        <v>0.18</v>
      </c>
      <c r="E246" s="976" t="str">
        <f>VLOOKUP($B246,DG!A:D,DG!$B$2,)</f>
        <v>03.4113</v>
      </c>
      <c r="F246" s="981" t="str">
        <f>VLOOKUP($B246,DG!A:D,DG!$C$2,)</f>
        <v>Đắp đất hố móng, độ chặt k=0,95</v>
      </c>
      <c r="G246" s="976" t="str">
        <f>VLOOKUP($B246,DG!A:D,DG!$D$2,)</f>
        <v>m3</v>
      </c>
      <c r="H246" s="1690">
        <f>H$244*$D246</f>
        <v>1.44</v>
      </c>
      <c r="I246" s="1689">
        <f t="shared" ref="I246:N246" si="41">I$18*$D246</f>
        <v>0</v>
      </c>
      <c r="J246" s="1689">
        <f t="shared" si="41"/>
        <v>0</v>
      </c>
      <c r="K246" s="1689">
        <f t="shared" si="41"/>
        <v>0</v>
      </c>
      <c r="L246" s="1689">
        <f t="shared" si="41"/>
        <v>0</v>
      </c>
      <c r="M246" s="1689">
        <f t="shared" si="41"/>
        <v>0</v>
      </c>
      <c r="N246" s="1689">
        <f t="shared" si="41"/>
        <v>0</v>
      </c>
      <c r="O246" s="1689"/>
      <c r="P246" s="1690">
        <f>$P$244*D246</f>
        <v>1.44</v>
      </c>
      <c r="Q246" s="2667">
        <f>$Q$244*D246</f>
        <v>0</v>
      </c>
      <c r="R246" s="1690">
        <f>$R$244*D246</f>
        <v>0</v>
      </c>
      <c r="S246" s="985"/>
      <c r="T246" s="1858">
        <f t="shared" si="33"/>
        <v>0</v>
      </c>
    </row>
    <row r="247" spans="1:20" ht="22.2" hidden="1" customHeight="1">
      <c r="A247" s="1444">
        <f>COUNTIF($C$12:C247,"x")</f>
        <v>14</v>
      </c>
      <c r="B247" s="1449" t="s">
        <v>635</v>
      </c>
      <c r="C247" s="60" t="str">
        <f t="shared" si="34"/>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3"/>
        <v>0</v>
      </c>
    </row>
    <row r="248" spans="1:20" ht="22.2" hidden="1" customHeight="1">
      <c r="A248" s="1444">
        <f>COUNTIF($C$12:C248,"x")</f>
        <v>14</v>
      </c>
      <c r="B248" s="1448" t="s">
        <v>303</v>
      </c>
      <c r="C248" s="59" t="str">
        <f t="shared" si="34"/>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2" hidden="1" customHeight="1">
      <c r="A249" s="1444">
        <f>COUNTIF($C$12:C249,"x")</f>
        <v>14</v>
      </c>
      <c r="B249" s="1461" t="s">
        <v>636</v>
      </c>
      <c r="C249" s="60" t="str">
        <f t="shared" si="34"/>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2">M$244*$D249</f>
        <v>0</v>
      </c>
      <c r="N249" s="1690">
        <f t="shared" si="42"/>
        <v>0</v>
      </c>
      <c r="O249" s="1690">
        <f t="shared" si="42"/>
        <v>0</v>
      </c>
      <c r="P249" s="1689">
        <f>$P$248*D249</f>
        <v>0</v>
      </c>
      <c r="Q249" s="984"/>
      <c r="R249" s="984"/>
      <c r="S249" s="984"/>
      <c r="T249" s="1858">
        <f t="shared" si="33"/>
        <v>0</v>
      </c>
    </row>
    <row r="250" spans="1:20" ht="22.2" hidden="1" customHeight="1">
      <c r="A250" s="1444">
        <f>COUNTIF($C$12:C250,"x")</f>
        <v>14</v>
      </c>
      <c r="B250" s="1461" t="s">
        <v>1810</v>
      </c>
      <c r="C250" s="60" t="str">
        <f t="shared" si="34"/>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2"/>
        <v>0</v>
      </c>
      <c r="N250" s="1690">
        <f t="shared" si="42"/>
        <v>0</v>
      </c>
      <c r="O250" s="1690">
        <f t="shared" si="42"/>
        <v>0</v>
      </c>
      <c r="P250" s="1689">
        <f>$P$248*D250</f>
        <v>0</v>
      </c>
      <c r="Q250" s="984"/>
      <c r="R250" s="984"/>
      <c r="S250" s="984"/>
      <c r="T250" s="1858">
        <f t="shared" si="33"/>
        <v>0</v>
      </c>
    </row>
    <row r="251" spans="1:20" ht="22.2" hidden="1" customHeight="1">
      <c r="A251" s="1444">
        <f>COUNTIF($C$12:C251,"x")</f>
        <v>14</v>
      </c>
      <c r="B251" s="1461" t="s">
        <v>639</v>
      </c>
      <c r="C251" s="60" t="str">
        <f t="shared" si="34"/>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3"/>
        <v>0</v>
      </c>
    </row>
    <row r="252" spans="1:20" ht="22.2" hidden="1" customHeight="1">
      <c r="A252" s="1444">
        <f>COUNTIF($C$12:C252,"x")</f>
        <v>14</v>
      </c>
      <c r="B252" s="1461" t="s">
        <v>21</v>
      </c>
      <c r="C252" s="60" t="str">
        <f t="shared" si="34"/>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3"/>
        <v>0</v>
      </c>
    </row>
    <row r="253" spans="1:20" ht="22.2" hidden="1" customHeight="1">
      <c r="A253" s="1444">
        <f>COUNTIF($C$12:C253,"x")</f>
        <v>14</v>
      </c>
      <c r="B253" s="1461" t="s">
        <v>637</v>
      </c>
      <c r="C253" s="60" t="str">
        <f t="shared" si="34"/>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3"/>
        <v>0</v>
      </c>
    </row>
    <row r="254" spans="1:20" ht="22.2" hidden="1" customHeight="1">
      <c r="A254" s="1444">
        <f>COUNTIF($C$12:C254,"x")</f>
        <v>14</v>
      </c>
      <c r="B254" s="1449" t="s">
        <v>2063</v>
      </c>
      <c r="C254" s="60" t="str">
        <f t="shared" si="34"/>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3"/>
        <v>0</v>
      </c>
    </row>
    <row r="255" spans="1:20" ht="22.2" hidden="1" customHeight="1">
      <c r="A255" s="1444">
        <f>COUNTIF($C$12:C255,"x")</f>
        <v>14</v>
      </c>
      <c r="B255" s="1449" t="s">
        <v>635</v>
      </c>
      <c r="C255" s="60" t="str">
        <f t="shared" si="34"/>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3"/>
        <v>0</v>
      </c>
    </row>
    <row r="256" spans="1:20" ht="22.2" hidden="1" customHeight="1">
      <c r="A256" s="1444">
        <f>COUNTIF($C$12:C256,"x")</f>
        <v>14</v>
      </c>
      <c r="B256" s="1448" t="s">
        <v>2263</v>
      </c>
      <c r="C256" s="59" t="str">
        <f t="shared" si="34"/>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2" hidden="1" customHeight="1">
      <c r="A257" s="1444">
        <f>COUNTIF($C$12:C257,"x")</f>
        <v>14</v>
      </c>
      <c r="B257" s="1461" t="s">
        <v>1575</v>
      </c>
      <c r="C257" s="60" t="str">
        <f t="shared" si="34"/>
        <v xml:space="preserve"> </v>
      </c>
      <c r="D257" s="1414">
        <v>1</v>
      </c>
      <c r="E257" s="976" t="str">
        <f>VLOOKUP($B257,DG!A:D,DG!$B$2,)</f>
        <v>04.3801</v>
      </c>
      <c r="F257" s="986" t="str">
        <f>VLOOKUP($B257,DG!A:D,DG!$C$2,)</f>
        <v>Đà cản BTCT 1,5m</v>
      </c>
      <c r="G257" s="980" t="str">
        <f>VLOOKUP($B257,DG!A:D,DG!$D$2,)</f>
        <v>cái</v>
      </c>
      <c r="H257" s="1690">
        <f t="shared" ref="H257:N258" si="43">H$256*$D257</f>
        <v>0</v>
      </c>
      <c r="I257" s="1690">
        <f t="shared" si="43"/>
        <v>0</v>
      </c>
      <c r="J257" s="1690">
        <f t="shared" si="43"/>
        <v>0</v>
      </c>
      <c r="K257" s="1690">
        <f t="shared" si="43"/>
        <v>0</v>
      </c>
      <c r="L257" s="1690">
        <f t="shared" si="43"/>
        <v>0</v>
      </c>
      <c r="M257" s="1690">
        <f t="shared" si="43"/>
        <v>0</v>
      </c>
      <c r="N257" s="1690">
        <f t="shared" si="43"/>
        <v>0</v>
      </c>
      <c r="O257" s="1690"/>
      <c r="P257" s="1690"/>
      <c r="Q257" s="984"/>
      <c r="R257" s="984"/>
      <c r="S257" s="984"/>
      <c r="T257" s="1858">
        <f t="shared" si="33"/>
        <v>0</v>
      </c>
    </row>
    <row r="258" spans="1:20" ht="22.2" hidden="1" customHeight="1">
      <c r="A258" s="1444">
        <f>COUNTIF($C$12:C258,"x")</f>
        <v>14</v>
      </c>
      <c r="B258" s="1461" t="s">
        <v>566</v>
      </c>
      <c r="C258" s="60" t="str">
        <f t="shared" si="34"/>
        <v xml:space="preserve"> </v>
      </c>
      <c r="D258" s="1414">
        <v>1</v>
      </c>
      <c r="E258" s="980"/>
      <c r="F258" s="986" t="str">
        <f>VLOOKUP($B258,DG!A:D,DG!$C$2,)</f>
        <v>Boulon 22x650+ 2 long đền vuông D24-50x50x3/Zn</v>
      </c>
      <c r="G258" s="980" t="str">
        <f>VLOOKUP($B258,DG!A:D,DG!$D$2,)</f>
        <v>bộ</v>
      </c>
      <c r="H258" s="1690">
        <f t="shared" si="43"/>
        <v>0</v>
      </c>
      <c r="I258" s="1690">
        <f t="shared" si="43"/>
        <v>0</v>
      </c>
      <c r="J258" s="1690">
        <f t="shared" si="43"/>
        <v>0</v>
      </c>
      <c r="K258" s="1690">
        <f t="shared" si="43"/>
        <v>0</v>
      </c>
      <c r="L258" s="1690">
        <f t="shared" si="43"/>
        <v>0</v>
      </c>
      <c r="M258" s="1690">
        <f t="shared" si="43"/>
        <v>0</v>
      </c>
      <c r="N258" s="1690">
        <f t="shared" si="43"/>
        <v>0</v>
      </c>
      <c r="O258" s="1690"/>
      <c r="P258" s="1690"/>
      <c r="Q258" s="984"/>
      <c r="R258" s="984"/>
      <c r="S258" s="984"/>
      <c r="T258" s="1858">
        <f t="shared" si="33"/>
        <v>0</v>
      </c>
    </row>
    <row r="259" spans="1:20" ht="22.2" hidden="1" customHeight="1">
      <c r="A259" s="1444">
        <f>COUNTIF($C$12:C259,"x")</f>
        <v>14</v>
      </c>
      <c r="B259" s="1451" t="s">
        <v>1812</v>
      </c>
      <c r="C259" s="60" t="str">
        <f t="shared" si="34"/>
        <v xml:space="preserve"> </v>
      </c>
      <c r="D259" s="1409">
        <v>0.23200000000000001</v>
      </c>
      <c r="E259" s="976">
        <f>VLOOKUP($B259,DG!A:D,DG!$B$2,)</f>
        <v>0</v>
      </c>
      <c r="F259" s="981" t="str">
        <f>VLOOKUP($B259,DG!A:D,DG!$C$2,)</f>
        <v>Đá 2x4</v>
      </c>
      <c r="G259" s="976" t="str">
        <f>VLOOKUP($B259,DG!A:D,DG!$D$2,)</f>
        <v>m3</v>
      </c>
      <c r="H259" s="1689">
        <f t="shared" ref="H259:N259" si="44">H$18*$D259</f>
        <v>0</v>
      </c>
      <c r="I259" s="1689">
        <f t="shared" si="44"/>
        <v>0</v>
      </c>
      <c r="J259" s="1689">
        <f t="shared" si="44"/>
        <v>0</v>
      </c>
      <c r="K259" s="1689">
        <f t="shared" si="44"/>
        <v>0</v>
      </c>
      <c r="L259" s="1689">
        <f t="shared" si="44"/>
        <v>0</v>
      </c>
      <c r="M259" s="1689">
        <f t="shared" si="44"/>
        <v>0</v>
      </c>
      <c r="N259" s="1689">
        <f t="shared" si="44"/>
        <v>0</v>
      </c>
      <c r="O259" s="1689"/>
      <c r="P259" s="1689"/>
      <c r="Q259" s="985"/>
      <c r="R259" s="985"/>
      <c r="S259" s="985"/>
      <c r="T259" s="1858">
        <f t="shared" si="33"/>
        <v>0</v>
      </c>
    </row>
    <row r="260" spans="1:20" ht="22.2" hidden="1" customHeight="1">
      <c r="A260" s="1444">
        <f>COUNTIF($C$12:C260,"x")</f>
        <v>14</v>
      </c>
      <c r="B260" s="1461" t="s">
        <v>639</v>
      </c>
      <c r="C260" s="60" t="str">
        <f t="shared" si="34"/>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3"/>
        <v>0</v>
      </c>
    </row>
    <row r="261" spans="1:20" ht="22.2" hidden="1" customHeight="1">
      <c r="A261" s="1444">
        <f>COUNTIF($C$12:C261,"x")</f>
        <v>14</v>
      </c>
      <c r="B261" s="1461" t="s">
        <v>21</v>
      </c>
      <c r="C261" s="60" t="str">
        <f t="shared" si="34"/>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3"/>
        <v>0</v>
      </c>
    </row>
    <row r="262" spans="1:20" ht="22.2" hidden="1" customHeight="1">
      <c r="A262" s="1444">
        <f>COUNTIF($C$12:C262,"x")</f>
        <v>14</v>
      </c>
      <c r="B262" s="1461" t="s">
        <v>637</v>
      </c>
      <c r="C262" s="60" t="str">
        <f t="shared" si="34"/>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3"/>
        <v>0</v>
      </c>
    </row>
    <row r="263" spans="1:20" ht="22.2" hidden="1" customHeight="1">
      <c r="A263" s="1444">
        <f>COUNTIF($C$12:C263,"x")</f>
        <v>14</v>
      </c>
      <c r="B263" s="1449" t="s">
        <v>2063</v>
      </c>
      <c r="C263" s="60" t="str">
        <f t="shared" si="34"/>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3"/>
        <v>0</v>
      </c>
    </row>
    <row r="264" spans="1:20" ht="22.2" hidden="1" customHeight="1">
      <c r="A264" s="1444">
        <f>COUNTIF($C$12:C264,"x")</f>
        <v>14</v>
      </c>
      <c r="B264" s="1460" t="s">
        <v>674</v>
      </c>
      <c r="C264" s="60" t="str">
        <f t="shared" si="34"/>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3"/>
        <v>0</v>
      </c>
    </row>
    <row r="265" spans="1:20" ht="22.2" hidden="1" customHeight="1">
      <c r="A265" s="1444">
        <f>COUNTIF($C$12:C265,"x")</f>
        <v>14</v>
      </c>
      <c r="B265" s="1449" t="s">
        <v>635</v>
      </c>
      <c r="C265" s="60" t="str">
        <f t="shared" si="34"/>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3"/>
        <v>0</v>
      </c>
    </row>
    <row r="266" spans="1:20" ht="22.2" hidden="1" customHeight="1">
      <c r="A266" s="1444">
        <f>COUNTIF($C$12:C266,"x")</f>
        <v>14</v>
      </c>
      <c r="B266" s="1448" t="s">
        <v>304</v>
      </c>
      <c r="C266" s="59" t="str">
        <f t="shared" si="34"/>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2" hidden="1" customHeight="1">
      <c r="A267" s="1444">
        <f>COUNTIF($C$12:C267,"x")</f>
        <v>14</v>
      </c>
      <c r="B267" s="1461" t="s">
        <v>636</v>
      </c>
      <c r="C267" s="60" t="str">
        <f t="shared" si="34"/>
        <v xml:space="preserve"> </v>
      </c>
      <c r="D267" s="1414">
        <v>2</v>
      </c>
      <c r="E267" s="976" t="str">
        <f>VLOOKUP($B267,DG!A:D,DG!$B$2,)</f>
        <v>04.4001</v>
      </c>
      <c r="F267" s="986" t="str">
        <f>VLOOKUP($B267,DG!A:D,DG!$C$2,)</f>
        <v>Đà cản BTCT 1,2m</v>
      </c>
      <c r="G267" s="980" t="str">
        <f>VLOOKUP($B267,DG!A:D,DG!$D$2,)</f>
        <v>cái</v>
      </c>
      <c r="H267" s="1690">
        <f t="shared" ref="H267:N268" si="45">H$266*$D267</f>
        <v>0</v>
      </c>
      <c r="I267" s="1690">
        <f t="shared" si="45"/>
        <v>0</v>
      </c>
      <c r="J267" s="1690">
        <f t="shared" si="45"/>
        <v>0</v>
      </c>
      <c r="K267" s="1690">
        <f t="shared" si="45"/>
        <v>0</v>
      </c>
      <c r="L267" s="1690">
        <f t="shared" si="45"/>
        <v>0</v>
      </c>
      <c r="M267" s="1690">
        <f t="shared" si="45"/>
        <v>0</v>
      </c>
      <c r="N267" s="1690">
        <f t="shared" si="45"/>
        <v>0</v>
      </c>
      <c r="O267" s="1690"/>
      <c r="P267" s="1690"/>
      <c r="Q267" s="984"/>
      <c r="R267" s="984"/>
      <c r="S267" s="984"/>
      <c r="T267" s="1858">
        <f t="shared" si="33"/>
        <v>0</v>
      </c>
    </row>
    <row r="268" spans="1:20" ht="22.2" hidden="1" customHeight="1">
      <c r="A268" s="1444">
        <f>COUNTIF($C$12:C268,"x")</f>
        <v>14</v>
      </c>
      <c r="B268" s="1461" t="s">
        <v>416</v>
      </c>
      <c r="C268" s="60" t="str">
        <f t="shared" si="34"/>
        <v xml:space="preserve"> </v>
      </c>
      <c r="D268" s="1414">
        <v>3</v>
      </c>
      <c r="E268" s="980"/>
      <c r="F268" s="986" t="str">
        <f>VLOOKUP($B268,DG!A:D,DG!$C$2,)</f>
        <v>Boulon 22x800+ 2 long đền vuông D24-50x50x3/Zn</v>
      </c>
      <c r="G268" s="980" t="str">
        <f>VLOOKUP($B268,DG!A:D,DG!$D$2,)</f>
        <v>bộ</v>
      </c>
      <c r="H268" s="1690">
        <f t="shared" si="45"/>
        <v>0</v>
      </c>
      <c r="I268" s="1690">
        <f t="shared" si="45"/>
        <v>0</v>
      </c>
      <c r="J268" s="1690">
        <f t="shared" si="45"/>
        <v>0</v>
      </c>
      <c r="K268" s="1690">
        <f t="shared" si="45"/>
        <v>0</v>
      </c>
      <c r="L268" s="1690">
        <f t="shared" si="45"/>
        <v>0</v>
      </c>
      <c r="M268" s="1690">
        <f t="shared" si="45"/>
        <v>0</v>
      </c>
      <c r="N268" s="1690">
        <f t="shared" si="45"/>
        <v>0</v>
      </c>
      <c r="O268" s="1690"/>
      <c r="P268" s="1690"/>
      <c r="Q268" s="984"/>
      <c r="R268" s="984"/>
      <c r="S268" s="984"/>
      <c r="T268" s="1858">
        <f t="shared" si="33"/>
        <v>0</v>
      </c>
    </row>
    <row r="269" spans="1:20" ht="22.2" hidden="1" customHeight="1">
      <c r="A269" s="1444">
        <f>COUNTIF($C$12:C269,"x")</f>
        <v>14</v>
      </c>
      <c r="B269" s="1461" t="s">
        <v>639</v>
      </c>
      <c r="C269" s="60" t="str">
        <f t="shared" si="34"/>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3"/>
        <v>0</v>
      </c>
    </row>
    <row r="270" spans="1:20" ht="22.2" hidden="1" customHeight="1">
      <c r="A270" s="1444">
        <f>COUNTIF($C$12:C270,"x")</f>
        <v>14</v>
      </c>
      <c r="B270" s="1461" t="s">
        <v>21</v>
      </c>
      <c r="C270" s="60" t="str">
        <f t="shared" si="34"/>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6">IFERROR(HLOOKUP(B270,BangKeTru,3,0),0)</f>
        <v>0</v>
      </c>
    </row>
    <row r="271" spans="1:20" ht="22.2" hidden="1" customHeight="1">
      <c r="A271" s="1444">
        <f>COUNTIF($C$12:C271,"x")</f>
        <v>14</v>
      </c>
      <c r="B271" s="1461" t="s">
        <v>637</v>
      </c>
      <c r="C271" s="60" t="str">
        <f t="shared" ref="C271:C334" si="47">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6"/>
        <v>0</v>
      </c>
    </row>
    <row r="272" spans="1:20" ht="22.2" hidden="1" customHeight="1">
      <c r="A272" s="1444">
        <f>COUNTIF($C$12:C272,"x")</f>
        <v>14</v>
      </c>
      <c r="B272" s="1449" t="s">
        <v>2063</v>
      </c>
      <c r="C272" s="60" t="str">
        <f t="shared" si="47"/>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6"/>
        <v>0</v>
      </c>
    </row>
    <row r="273" spans="1:20" ht="22.2" hidden="1" customHeight="1">
      <c r="A273" s="1444">
        <f>COUNTIF($C$12:C273,"x")</f>
        <v>14</v>
      </c>
      <c r="B273" s="1449" t="s">
        <v>635</v>
      </c>
      <c r="C273" s="60" t="str">
        <f t="shared" si="47"/>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6"/>
        <v>0</v>
      </c>
    </row>
    <row r="274" spans="1:20" ht="22.2" hidden="1" customHeight="1">
      <c r="A274" s="1444">
        <f>COUNTIF($C$12:C274,"x")</f>
        <v>14</v>
      </c>
      <c r="B274" s="1448" t="s">
        <v>638</v>
      </c>
      <c r="C274" s="59" t="str">
        <f t="shared" si="47"/>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2" hidden="1" customHeight="1">
      <c r="A275" s="1444">
        <f>COUNTIF($C$12:C275,"x")</f>
        <v>14</v>
      </c>
      <c r="B275" s="1461" t="s">
        <v>1575</v>
      </c>
      <c r="C275" s="60" t="str">
        <f t="shared" si="47"/>
        <v xml:space="preserve"> </v>
      </c>
      <c r="D275" s="1414">
        <v>1</v>
      </c>
      <c r="E275" s="976" t="str">
        <f>VLOOKUP($B275,DG!A:D,DG!$B$2,)</f>
        <v>04.3801</v>
      </c>
      <c r="F275" s="986" t="str">
        <f>VLOOKUP($B275,DG!A:D,DG!$C$2,)</f>
        <v>Đà cản BTCT 1,5m</v>
      </c>
      <c r="G275" s="980" t="str">
        <f>VLOOKUP($B275,DG!A:D,DG!$D$2,)</f>
        <v>cái</v>
      </c>
      <c r="H275" s="1690">
        <f t="shared" ref="H275:N277" si="48">H$274*$D275</f>
        <v>0</v>
      </c>
      <c r="I275" s="1690">
        <f t="shared" si="48"/>
        <v>0</v>
      </c>
      <c r="J275" s="1690">
        <f t="shared" si="48"/>
        <v>0</v>
      </c>
      <c r="K275" s="1690">
        <f t="shared" si="48"/>
        <v>0</v>
      </c>
      <c r="L275" s="1690">
        <f t="shared" si="48"/>
        <v>0</v>
      </c>
      <c r="M275" s="1690">
        <f t="shared" si="48"/>
        <v>0</v>
      </c>
      <c r="N275" s="1690">
        <f t="shared" si="48"/>
        <v>0</v>
      </c>
      <c r="O275" s="1690"/>
      <c r="P275" s="1690"/>
      <c r="Q275" s="984"/>
      <c r="R275" s="984"/>
      <c r="S275" s="984"/>
      <c r="T275" s="1858">
        <f t="shared" si="46"/>
        <v>0</v>
      </c>
    </row>
    <row r="276" spans="1:20" ht="22.2" hidden="1" customHeight="1">
      <c r="A276" s="1444">
        <f>COUNTIF($C$12:C276,"x")</f>
        <v>14</v>
      </c>
      <c r="B276" s="1461" t="s">
        <v>636</v>
      </c>
      <c r="C276" s="60" t="str">
        <f t="shared" si="47"/>
        <v xml:space="preserve"> </v>
      </c>
      <c r="D276" s="1414">
        <v>1</v>
      </c>
      <c r="E276" s="976" t="str">
        <f>VLOOKUP($B276,DG!A:D,DG!$B$2,)</f>
        <v>04.4001</v>
      </c>
      <c r="F276" s="986" t="str">
        <f>VLOOKUP($B276,DG!A:D,DG!$C$2,)</f>
        <v>Đà cản BTCT 1,2m</v>
      </c>
      <c r="G276" s="980" t="str">
        <f>VLOOKUP($B276,DG!A:D,DG!$D$2,)</f>
        <v>cái</v>
      </c>
      <c r="H276" s="1690">
        <f t="shared" si="48"/>
        <v>0</v>
      </c>
      <c r="I276" s="1690">
        <f t="shared" si="48"/>
        <v>0</v>
      </c>
      <c r="J276" s="1690">
        <f t="shared" si="48"/>
        <v>0</v>
      </c>
      <c r="K276" s="1690">
        <f t="shared" si="48"/>
        <v>0</v>
      </c>
      <c r="L276" s="1690">
        <f t="shared" si="48"/>
        <v>0</v>
      </c>
      <c r="M276" s="1690">
        <f t="shared" si="48"/>
        <v>0</v>
      </c>
      <c r="N276" s="1690">
        <f t="shared" si="48"/>
        <v>0</v>
      </c>
      <c r="O276" s="1690"/>
      <c r="P276" s="1690"/>
      <c r="Q276" s="984"/>
      <c r="R276" s="984"/>
      <c r="S276" s="984"/>
      <c r="T276" s="1858">
        <f t="shared" si="46"/>
        <v>0</v>
      </c>
    </row>
    <row r="277" spans="1:20" ht="22.2" hidden="1" customHeight="1">
      <c r="A277" s="1444">
        <f>COUNTIF($C$12:C277,"x")</f>
        <v>14</v>
      </c>
      <c r="B277" s="1461" t="s">
        <v>566</v>
      </c>
      <c r="C277" s="60" t="str">
        <f t="shared" si="47"/>
        <v xml:space="preserve"> </v>
      </c>
      <c r="D277" s="1414">
        <v>2</v>
      </c>
      <c r="E277" s="980"/>
      <c r="F277" s="986" t="str">
        <f>VLOOKUP($B277,DG!A:D,DG!$C$2,)</f>
        <v>Boulon 22x650+ 2 long đền vuông D24-50x50x3/Zn</v>
      </c>
      <c r="G277" s="980" t="str">
        <f>VLOOKUP($B277,DG!A:D,DG!$D$2,)</f>
        <v>bộ</v>
      </c>
      <c r="H277" s="1690">
        <f t="shared" si="48"/>
        <v>0</v>
      </c>
      <c r="I277" s="1690">
        <f t="shared" si="48"/>
        <v>0</v>
      </c>
      <c r="J277" s="1690">
        <f t="shared" si="48"/>
        <v>0</v>
      </c>
      <c r="K277" s="1690">
        <f t="shared" si="48"/>
        <v>0</v>
      </c>
      <c r="L277" s="1690">
        <f t="shared" si="48"/>
        <v>0</v>
      </c>
      <c r="M277" s="1690">
        <f t="shared" si="48"/>
        <v>0</v>
      </c>
      <c r="N277" s="1690">
        <f t="shared" si="48"/>
        <v>0</v>
      </c>
      <c r="O277" s="1690"/>
      <c r="P277" s="1690"/>
      <c r="Q277" s="984"/>
      <c r="R277" s="984"/>
      <c r="S277" s="984"/>
      <c r="T277" s="1858">
        <f t="shared" si="46"/>
        <v>0</v>
      </c>
    </row>
    <row r="278" spans="1:20" ht="22.2" hidden="1" customHeight="1">
      <c r="A278" s="1444">
        <f>COUNTIF($C$12:C278,"x")</f>
        <v>14</v>
      </c>
      <c r="B278" s="1461" t="s">
        <v>639</v>
      </c>
      <c r="C278" s="60" t="str">
        <f t="shared" si="47"/>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6"/>
        <v>0</v>
      </c>
    </row>
    <row r="279" spans="1:20" ht="22.2" hidden="1" customHeight="1">
      <c r="A279" s="1444">
        <f>COUNTIF($C$12:C279,"x")</f>
        <v>14</v>
      </c>
      <c r="B279" s="1461" t="s">
        <v>21</v>
      </c>
      <c r="C279" s="60" t="str">
        <f t="shared" si="47"/>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6"/>
        <v>0</v>
      </c>
    </row>
    <row r="280" spans="1:20" ht="22.2" hidden="1" customHeight="1">
      <c r="A280" s="1444">
        <f>COUNTIF($C$12:C280,"x")</f>
        <v>14</v>
      </c>
      <c r="B280" s="1461" t="s">
        <v>637</v>
      </c>
      <c r="C280" s="60" t="str">
        <f t="shared" si="47"/>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6"/>
        <v>0</v>
      </c>
    </row>
    <row r="281" spans="1:20" ht="22.2" hidden="1" customHeight="1">
      <c r="A281" s="1444">
        <f>COUNTIF($C$12:C281,"x")</f>
        <v>14</v>
      </c>
      <c r="B281" s="1449" t="s">
        <v>2063</v>
      </c>
      <c r="C281" s="60" t="str">
        <f t="shared" si="47"/>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6"/>
        <v>0</v>
      </c>
    </row>
    <row r="282" spans="1:20" ht="22.2" hidden="1" customHeight="1">
      <c r="A282" s="1444">
        <f>COUNTIF($C$12:C282,"x")</f>
        <v>14</v>
      </c>
      <c r="B282" s="1449" t="s">
        <v>635</v>
      </c>
      <c r="C282" s="60" t="str">
        <f t="shared" si="47"/>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6"/>
        <v>0</v>
      </c>
    </row>
    <row r="283" spans="1:20" ht="22.2" hidden="1" customHeight="1">
      <c r="A283" s="1444">
        <f>COUNTIF($C$12:C283,"x")</f>
        <v>14</v>
      </c>
      <c r="B283" s="1448" t="s">
        <v>647</v>
      </c>
      <c r="C283" s="59" t="str">
        <f t="shared" si="47"/>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2" hidden="1" customHeight="1">
      <c r="A284" s="1444">
        <f>COUNTIF($C$12:C284,"x")</f>
        <v>14</v>
      </c>
      <c r="B284" s="1461" t="s">
        <v>1575</v>
      </c>
      <c r="C284" s="60" t="str">
        <f t="shared" si="47"/>
        <v xml:space="preserve"> </v>
      </c>
      <c r="D284" s="1414">
        <v>2</v>
      </c>
      <c r="E284" s="976" t="str">
        <f>VLOOKUP($B284,DG!A:D,DG!$B$2,)</f>
        <v>04.3801</v>
      </c>
      <c r="F284" s="986" t="str">
        <f>VLOOKUP($B284,DG!A:D,DG!$C$2,)</f>
        <v>Đà cản BTCT 1,5m</v>
      </c>
      <c r="G284" s="980" t="str">
        <f>VLOOKUP($B284,DG!A:D,DG!$D$2,)</f>
        <v>cái</v>
      </c>
      <c r="H284" s="1690">
        <f t="shared" ref="H284:N285" si="49">H$283*$D284</f>
        <v>0</v>
      </c>
      <c r="I284" s="1690">
        <f t="shared" si="49"/>
        <v>0</v>
      </c>
      <c r="J284" s="1690">
        <f t="shared" si="49"/>
        <v>0</v>
      </c>
      <c r="K284" s="1690">
        <f t="shared" si="49"/>
        <v>0</v>
      </c>
      <c r="L284" s="1690">
        <f t="shared" si="49"/>
        <v>0</v>
      </c>
      <c r="M284" s="1690">
        <f t="shared" si="49"/>
        <v>0</v>
      </c>
      <c r="N284" s="1690">
        <f t="shared" si="49"/>
        <v>0</v>
      </c>
      <c r="O284" s="1690"/>
      <c r="P284" s="1690"/>
      <c r="Q284" s="984"/>
      <c r="R284" s="984"/>
      <c r="S284" s="984"/>
      <c r="T284" s="1858">
        <f t="shared" si="46"/>
        <v>0</v>
      </c>
    </row>
    <row r="285" spans="1:20" ht="22.2" hidden="1" customHeight="1">
      <c r="A285" s="1444">
        <f>COUNTIF($C$12:C285,"x")</f>
        <v>14</v>
      </c>
      <c r="B285" s="1461" t="s">
        <v>566</v>
      </c>
      <c r="C285" s="60" t="str">
        <f t="shared" si="47"/>
        <v xml:space="preserve"> </v>
      </c>
      <c r="D285" s="1414">
        <v>2</v>
      </c>
      <c r="E285" s="980"/>
      <c r="F285" s="986" t="str">
        <f>VLOOKUP($B285,DG!A:D,DG!$C$2,)</f>
        <v>Boulon 22x650+ 2 long đền vuông D24-50x50x3/Zn</v>
      </c>
      <c r="G285" s="980" t="str">
        <f>VLOOKUP($B285,DG!A:D,DG!$D$2,)</f>
        <v>bộ</v>
      </c>
      <c r="H285" s="1690">
        <f t="shared" si="49"/>
        <v>0</v>
      </c>
      <c r="I285" s="1690">
        <f t="shared" si="49"/>
        <v>0</v>
      </c>
      <c r="J285" s="1690">
        <f t="shared" si="49"/>
        <v>0</v>
      </c>
      <c r="K285" s="1690">
        <f t="shared" si="49"/>
        <v>0</v>
      </c>
      <c r="L285" s="1690">
        <f t="shared" si="49"/>
        <v>0</v>
      </c>
      <c r="M285" s="1690">
        <f t="shared" si="49"/>
        <v>0</v>
      </c>
      <c r="N285" s="1690">
        <f t="shared" si="49"/>
        <v>0</v>
      </c>
      <c r="O285" s="1690"/>
      <c r="P285" s="1690"/>
      <c r="Q285" s="984"/>
      <c r="R285" s="984"/>
      <c r="S285" s="984"/>
      <c r="T285" s="1858">
        <f t="shared" si="46"/>
        <v>0</v>
      </c>
    </row>
    <row r="286" spans="1:20" ht="22.2" hidden="1" customHeight="1">
      <c r="A286" s="1444">
        <f>COUNTIF($C$12:C286,"x")</f>
        <v>14</v>
      </c>
      <c r="B286" s="1461" t="s">
        <v>639</v>
      </c>
      <c r="C286" s="60" t="str">
        <f t="shared" si="47"/>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6"/>
        <v>0</v>
      </c>
    </row>
    <row r="287" spans="1:20" ht="22.2" hidden="1" customHeight="1">
      <c r="A287" s="1444">
        <f>COUNTIF($C$12:C287,"x")</f>
        <v>14</v>
      </c>
      <c r="B287" s="1461" t="s">
        <v>21</v>
      </c>
      <c r="C287" s="60" t="str">
        <f t="shared" si="47"/>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6"/>
        <v>0</v>
      </c>
    </row>
    <row r="288" spans="1:20" ht="22.2" hidden="1" customHeight="1">
      <c r="A288" s="1444">
        <f>COUNTIF($C$12:C288,"x")</f>
        <v>14</v>
      </c>
      <c r="B288" s="1461" t="s">
        <v>637</v>
      </c>
      <c r="C288" s="60" t="str">
        <f t="shared" si="47"/>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6"/>
        <v>0</v>
      </c>
    </row>
    <row r="289" spans="1:20" ht="22.2" hidden="1" customHeight="1">
      <c r="A289" s="1444">
        <f>COUNTIF($C$12:C289,"x")</f>
        <v>14</v>
      </c>
      <c r="B289" s="1449" t="s">
        <v>2063</v>
      </c>
      <c r="C289" s="60" t="str">
        <f t="shared" si="47"/>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6"/>
        <v>0</v>
      </c>
    </row>
    <row r="290" spans="1:20" ht="22.2" hidden="1" customHeight="1">
      <c r="A290" s="1444">
        <f>COUNTIF($C$12:C290,"x")</f>
        <v>14</v>
      </c>
      <c r="B290" s="1449" t="s">
        <v>635</v>
      </c>
      <c r="C290" s="60" t="str">
        <f t="shared" si="47"/>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6"/>
        <v>0</v>
      </c>
    </row>
    <row r="291" spans="1:20" ht="22.2" hidden="1" customHeight="1">
      <c r="A291" s="1444">
        <f>COUNTIF($C$12:C291,"x")</f>
        <v>14</v>
      </c>
      <c r="B291" s="1448" t="s">
        <v>511</v>
      </c>
      <c r="C291" s="59" t="str">
        <f t="shared" si="47"/>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2" hidden="1" customHeight="1">
      <c r="A292" s="1444">
        <f>COUNTIF($C$12:C292,"x")</f>
        <v>14</v>
      </c>
      <c r="B292" s="1461" t="s">
        <v>224</v>
      </c>
      <c r="C292" s="60" t="str">
        <f t="shared" si="47"/>
        <v xml:space="preserve"> </v>
      </c>
      <c r="D292" s="1414">
        <v>42</v>
      </c>
      <c r="E292" s="976" t="str">
        <f>VLOOKUP($B292,DG!A:D,DG!$B$2,)</f>
        <v>04.5142</v>
      </c>
      <c r="F292" s="986" t="str">
        <f>VLOOKUP($B292,DG!A:D,DG!$C$2,)</f>
        <v>Cừ tràm 5m</v>
      </c>
      <c r="G292" s="980" t="str">
        <f>VLOOKUP($B292,DG!A:D,DG!$D$2,)</f>
        <v>cây</v>
      </c>
      <c r="H292" s="1690">
        <f t="shared" ref="H292:N294" si="50">H$291*$D292</f>
        <v>0</v>
      </c>
      <c r="I292" s="1690">
        <f t="shared" si="50"/>
        <v>0</v>
      </c>
      <c r="J292" s="1690">
        <f t="shared" si="50"/>
        <v>0</v>
      </c>
      <c r="K292" s="1690">
        <f t="shared" si="50"/>
        <v>0</v>
      </c>
      <c r="L292" s="1690">
        <f t="shared" si="50"/>
        <v>0</v>
      </c>
      <c r="M292" s="1690">
        <f t="shared" si="50"/>
        <v>0</v>
      </c>
      <c r="N292" s="1690">
        <f t="shared" si="50"/>
        <v>0</v>
      </c>
      <c r="O292" s="1690"/>
      <c r="P292" s="1690"/>
      <c r="Q292" s="984"/>
      <c r="R292" s="984"/>
      <c r="S292" s="984"/>
      <c r="T292" s="1858">
        <f t="shared" si="46"/>
        <v>0</v>
      </c>
    </row>
    <row r="293" spans="1:20" ht="22.2" hidden="1" customHeight="1">
      <c r="A293" s="1444">
        <f>COUNTIF($C$12:C293,"x")</f>
        <v>14</v>
      </c>
      <c r="B293" s="1461" t="s">
        <v>1575</v>
      </c>
      <c r="C293" s="60" t="str">
        <f t="shared" si="47"/>
        <v xml:space="preserve"> </v>
      </c>
      <c r="D293" s="1414">
        <v>2</v>
      </c>
      <c r="E293" s="976" t="str">
        <f>VLOOKUP($B293,DG!A:D,DG!$B$2,)</f>
        <v>04.3801</v>
      </c>
      <c r="F293" s="986" t="str">
        <f>VLOOKUP($B293,DG!A:D,DG!$C$2,)</f>
        <v>Đà cản BTCT 1,5m</v>
      </c>
      <c r="G293" s="980" t="str">
        <f>VLOOKUP($B293,DG!A:D,DG!$D$2,)</f>
        <v>cái</v>
      </c>
      <c r="H293" s="1690">
        <f t="shared" si="50"/>
        <v>0</v>
      </c>
      <c r="I293" s="1690">
        <f t="shared" si="50"/>
        <v>0</v>
      </c>
      <c r="J293" s="1690">
        <f t="shared" si="50"/>
        <v>0</v>
      </c>
      <c r="K293" s="1690">
        <f t="shared" si="50"/>
        <v>0</v>
      </c>
      <c r="L293" s="1690">
        <f t="shared" si="50"/>
        <v>0</v>
      </c>
      <c r="M293" s="1690">
        <f t="shared" si="50"/>
        <v>0</v>
      </c>
      <c r="N293" s="1690">
        <f t="shared" si="50"/>
        <v>0</v>
      </c>
      <c r="O293" s="1690"/>
      <c r="P293" s="1690"/>
      <c r="Q293" s="984"/>
      <c r="R293" s="984"/>
      <c r="S293" s="984"/>
      <c r="T293" s="1858">
        <f t="shared" si="46"/>
        <v>0</v>
      </c>
    </row>
    <row r="294" spans="1:20" ht="22.2" hidden="1" customHeight="1">
      <c r="A294" s="1444">
        <f>COUNTIF($C$12:C294,"x")</f>
        <v>14</v>
      </c>
      <c r="B294" s="1461" t="s">
        <v>722</v>
      </c>
      <c r="C294" s="60" t="str">
        <f t="shared" si="47"/>
        <v xml:space="preserve"> </v>
      </c>
      <c r="D294" s="1414">
        <v>1</v>
      </c>
      <c r="E294" s="980"/>
      <c r="F294" s="986" t="str">
        <f>VLOOKUP($B294,DG!A:D,DG!$C$2,)</f>
        <v>Boulon 22x850+ 2 long đền vuông D24-50x50x3/Zn</v>
      </c>
      <c r="G294" s="980" t="str">
        <f>VLOOKUP($B294,DG!A:D,DG!$D$2,)</f>
        <v>bộ</v>
      </c>
      <c r="H294" s="1690">
        <f t="shared" si="50"/>
        <v>0</v>
      </c>
      <c r="I294" s="1690">
        <f t="shared" si="50"/>
        <v>0</v>
      </c>
      <c r="J294" s="1690">
        <f t="shared" si="50"/>
        <v>0</v>
      </c>
      <c r="K294" s="1690">
        <f t="shared" si="50"/>
        <v>0</v>
      </c>
      <c r="L294" s="1690">
        <f t="shared" si="50"/>
        <v>0</v>
      </c>
      <c r="M294" s="1690">
        <f t="shared" si="50"/>
        <v>0</v>
      </c>
      <c r="N294" s="1690">
        <f t="shared" si="50"/>
        <v>0</v>
      </c>
      <c r="O294" s="1690"/>
      <c r="P294" s="1690"/>
      <c r="Q294" s="984"/>
      <c r="R294" s="984"/>
      <c r="S294" s="984"/>
      <c r="T294" s="1858">
        <f t="shared" si="46"/>
        <v>0</v>
      </c>
    </row>
    <row r="295" spans="1:20" ht="22.2" hidden="1" customHeight="1">
      <c r="A295" s="1444">
        <f>COUNTIF($C$12:C295,"x")</f>
        <v>14</v>
      </c>
      <c r="B295" s="1461" t="s">
        <v>639</v>
      </c>
      <c r="C295" s="60" t="str">
        <f t="shared" si="47"/>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6"/>
        <v>0</v>
      </c>
    </row>
    <row r="296" spans="1:20" ht="22.2" hidden="1" customHeight="1">
      <c r="A296" s="1444">
        <f>COUNTIF($C$12:C296,"x")</f>
        <v>14</v>
      </c>
      <c r="B296" s="1461" t="s">
        <v>21</v>
      </c>
      <c r="C296" s="60" t="str">
        <f t="shared" si="47"/>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6"/>
        <v>0</v>
      </c>
    </row>
    <row r="297" spans="1:20" ht="22.2" hidden="1" customHeight="1">
      <c r="A297" s="1444">
        <f>COUNTIF($C$12:C297,"x")</f>
        <v>14</v>
      </c>
      <c r="B297" s="1461" t="s">
        <v>637</v>
      </c>
      <c r="C297" s="60" t="str">
        <f t="shared" si="47"/>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6"/>
        <v>0</v>
      </c>
    </row>
    <row r="298" spans="1:20" ht="22.2" hidden="1" customHeight="1">
      <c r="A298" s="1444">
        <f>COUNTIF($C$12:C298,"x")</f>
        <v>14</v>
      </c>
      <c r="B298" s="1461" t="s">
        <v>1577</v>
      </c>
      <c r="C298" s="60" t="str">
        <f t="shared" si="47"/>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6"/>
        <v>0</v>
      </c>
    </row>
    <row r="299" spans="1:20" ht="22.2" hidden="1" customHeight="1">
      <c r="A299" s="1444">
        <f>COUNTIF($C$12:C299,"x")</f>
        <v>14</v>
      </c>
      <c r="B299" s="1463" t="s">
        <v>634</v>
      </c>
      <c r="C299" s="60" t="str">
        <f t="shared" si="47"/>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6"/>
        <v>0</v>
      </c>
    </row>
    <row r="300" spans="1:20" ht="22.2" hidden="1" customHeight="1">
      <c r="A300" s="1444">
        <f>COUNTIF($C$12:C300,"x")</f>
        <v>14</v>
      </c>
      <c r="B300" s="1449" t="s">
        <v>2063</v>
      </c>
      <c r="C300" s="60" t="str">
        <f t="shared" si="47"/>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6"/>
        <v>0</v>
      </c>
    </row>
    <row r="301" spans="1:20" ht="22.2" hidden="1" customHeight="1">
      <c r="A301" s="1444">
        <f>COUNTIF($C$12:C301,"x")</f>
        <v>14</v>
      </c>
      <c r="B301" s="1449" t="s">
        <v>635</v>
      </c>
      <c r="C301" s="60" t="str">
        <f t="shared" si="47"/>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6"/>
        <v>0</v>
      </c>
    </row>
    <row r="302" spans="1:20" ht="22.2" hidden="1" customHeight="1" collapsed="1">
      <c r="A302" s="1444">
        <f>COUNTIF($C$12:C302,"x")</f>
        <v>14</v>
      </c>
      <c r="B302" s="1448" t="s">
        <v>646</v>
      </c>
      <c r="C302" s="59" t="str">
        <f t="shared" si="47"/>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2" hidden="1" customHeight="1">
      <c r="A303" s="1444">
        <f>COUNTIF($C$12:C303,"x")</f>
        <v>14</v>
      </c>
      <c r="B303" s="1461" t="s">
        <v>636</v>
      </c>
      <c r="C303" s="60" t="str">
        <f t="shared" si="47"/>
        <v xml:space="preserve"> </v>
      </c>
      <c r="D303" s="1414">
        <v>2</v>
      </c>
      <c r="E303" s="976" t="str">
        <f>VLOOKUP($B303,DG!A:D,DG!$B$2,)</f>
        <v>04.4001</v>
      </c>
      <c r="F303" s="986" t="str">
        <f>VLOOKUP($B303,DG!A:D,DG!$C$2,)</f>
        <v>Đà cản BTCT 1,2m</v>
      </c>
      <c r="G303" s="980" t="str">
        <f>VLOOKUP($B303,DG!A:D,DG!$D$2,)</f>
        <v>cái</v>
      </c>
      <c r="H303" s="1690">
        <f t="shared" ref="H303:N303" si="51">H$302*$D303</f>
        <v>0</v>
      </c>
      <c r="I303" s="1690">
        <f t="shared" si="51"/>
        <v>0</v>
      </c>
      <c r="J303" s="1690">
        <f t="shared" si="51"/>
        <v>0</v>
      </c>
      <c r="K303" s="1690">
        <f t="shared" si="51"/>
        <v>0</v>
      </c>
      <c r="L303" s="1690">
        <f t="shared" si="51"/>
        <v>0</v>
      </c>
      <c r="M303" s="1690">
        <f t="shared" si="51"/>
        <v>0</v>
      </c>
      <c r="N303" s="1690">
        <f t="shared" si="51"/>
        <v>0</v>
      </c>
      <c r="O303" s="1690"/>
      <c r="P303" s="1690"/>
      <c r="Q303" s="984"/>
      <c r="R303" s="984"/>
      <c r="S303" s="984"/>
      <c r="T303" s="1858">
        <f t="shared" si="46"/>
        <v>0</v>
      </c>
    </row>
    <row r="304" spans="1:20" ht="22.2" hidden="1" customHeight="1">
      <c r="A304" s="1444">
        <f>COUNTIF($C$12:C304,"x")</f>
        <v>14</v>
      </c>
      <c r="B304" s="1461" t="s">
        <v>722</v>
      </c>
      <c r="C304" s="60" t="str">
        <f t="shared" si="47"/>
        <v xml:space="preserve"> </v>
      </c>
      <c r="D304" s="1414">
        <v>1</v>
      </c>
      <c r="E304" s="980"/>
      <c r="F304" s="986" t="str">
        <f>VLOOKUP($B304,DG!A:D,DG!$C$2,)</f>
        <v>Boulon 22x850+ 2 long đền vuông D24-50x50x3/Zn</v>
      </c>
      <c r="G304" s="980" t="str">
        <f>VLOOKUP($B304,DG!A:D,DG!$D$2,)</f>
        <v>bộ</v>
      </c>
      <c r="H304" s="1690">
        <f>$H$302*D304</f>
        <v>0</v>
      </c>
      <c r="I304" s="1690">
        <f t="shared" ref="I304:N304" si="52">I$302*$D304</f>
        <v>0</v>
      </c>
      <c r="J304" s="1690">
        <f t="shared" si="52"/>
        <v>0</v>
      </c>
      <c r="K304" s="1690">
        <f t="shared" si="52"/>
        <v>0</v>
      </c>
      <c r="L304" s="1690">
        <f t="shared" si="52"/>
        <v>0</v>
      </c>
      <c r="M304" s="1690">
        <f t="shared" si="52"/>
        <v>0</v>
      </c>
      <c r="N304" s="1690">
        <f t="shared" si="52"/>
        <v>0</v>
      </c>
      <c r="O304" s="1690"/>
      <c r="P304" s="1690"/>
      <c r="Q304" s="984"/>
      <c r="R304" s="984"/>
      <c r="S304" s="984"/>
      <c r="T304" s="1858">
        <f t="shared" si="46"/>
        <v>0</v>
      </c>
    </row>
    <row r="305" spans="1:20" ht="22.2" hidden="1" customHeight="1">
      <c r="A305" s="1444">
        <f>COUNTIF($C$12:C305,"x")</f>
        <v>14</v>
      </c>
      <c r="B305" s="1461" t="s">
        <v>639</v>
      </c>
      <c r="C305" s="60" t="str">
        <f t="shared" si="47"/>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6"/>
        <v>0</v>
      </c>
    </row>
    <row r="306" spans="1:20" ht="22.2" hidden="1" customHeight="1">
      <c r="A306" s="1444">
        <f>COUNTIF($C$12:C306,"x")</f>
        <v>14</v>
      </c>
      <c r="B306" s="1461" t="s">
        <v>21</v>
      </c>
      <c r="C306" s="60" t="str">
        <f t="shared" si="47"/>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6"/>
        <v>0</v>
      </c>
    </row>
    <row r="307" spans="1:20" ht="22.2" hidden="1" customHeight="1">
      <c r="A307" s="1444">
        <f>COUNTIF($C$12:C307,"x")</f>
        <v>14</v>
      </c>
      <c r="B307" s="1448" t="s">
        <v>1901</v>
      </c>
      <c r="C307" s="59" t="str">
        <f t="shared" si="47"/>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2" hidden="1" customHeight="1">
      <c r="A308" s="1444">
        <f>COUNTIF($C$12:C308,"x")</f>
        <v>14</v>
      </c>
      <c r="B308" s="1461" t="s">
        <v>1575</v>
      </c>
      <c r="C308" s="60" t="str">
        <f t="shared" si="47"/>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3">J$302*$D308</f>
        <v>0</v>
      </c>
      <c r="K308" s="1690">
        <f t="shared" si="53"/>
        <v>0</v>
      </c>
      <c r="L308" s="1690">
        <f t="shared" si="53"/>
        <v>0</v>
      </c>
      <c r="M308" s="1690">
        <f t="shared" si="53"/>
        <v>0</v>
      </c>
      <c r="N308" s="1690">
        <f t="shared" si="53"/>
        <v>0</v>
      </c>
      <c r="O308" s="1690"/>
      <c r="P308" s="1690"/>
      <c r="Q308" s="984"/>
      <c r="R308" s="984"/>
      <c r="S308" s="984"/>
      <c r="T308" s="1858">
        <f t="shared" si="46"/>
        <v>0</v>
      </c>
    </row>
    <row r="309" spans="1:20" ht="22.2" hidden="1" customHeight="1">
      <c r="A309" s="1444">
        <f>COUNTIF($C$12:C309,"x")</f>
        <v>14</v>
      </c>
      <c r="B309" s="1461" t="s">
        <v>722</v>
      </c>
      <c r="C309" s="60" t="str">
        <f t="shared" si="47"/>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3"/>
        <v>0</v>
      </c>
      <c r="K309" s="1690">
        <f t="shared" si="53"/>
        <v>0</v>
      </c>
      <c r="L309" s="1690">
        <f t="shared" si="53"/>
        <v>0</v>
      </c>
      <c r="M309" s="1690">
        <f t="shared" si="53"/>
        <v>0</v>
      </c>
      <c r="N309" s="1690">
        <f t="shared" si="53"/>
        <v>0</v>
      </c>
      <c r="O309" s="1690"/>
      <c r="P309" s="1690"/>
      <c r="Q309" s="984"/>
      <c r="R309" s="984"/>
      <c r="S309" s="984"/>
      <c r="T309" s="1858">
        <f t="shared" si="46"/>
        <v>0</v>
      </c>
    </row>
    <row r="310" spans="1:20" ht="22.2" hidden="1" customHeight="1">
      <c r="A310" s="1444">
        <f>COUNTIF($C$12:C310,"x")</f>
        <v>14</v>
      </c>
      <c r="B310" s="1451" t="s">
        <v>1812</v>
      </c>
      <c r="C310" s="60" t="str">
        <f t="shared" si="47"/>
        <v xml:space="preserve"> </v>
      </c>
      <c r="D310" s="1409">
        <v>0.23200000000000001</v>
      </c>
      <c r="E310" s="976">
        <f>VLOOKUP($B310,DG!A:D,DG!$B$2,)</f>
        <v>0</v>
      </c>
      <c r="F310" s="981" t="str">
        <f>VLOOKUP($B310,DG!A:D,DG!$C$2,)</f>
        <v>Đá 2x4</v>
      </c>
      <c r="G310" s="976" t="str">
        <f>VLOOKUP($B310,DG!A:D,DG!$D$2,)</f>
        <v>m3</v>
      </c>
      <c r="H310" s="1689">
        <f t="shared" ref="H310:N310" si="54">H$18*$D310</f>
        <v>0</v>
      </c>
      <c r="I310" s="1689">
        <f t="shared" si="54"/>
        <v>0</v>
      </c>
      <c r="J310" s="1689">
        <f t="shared" si="54"/>
        <v>0</v>
      </c>
      <c r="K310" s="1689">
        <f t="shared" si="54"/>
        <v>0</v>
      </c>
      <c r="L310" s="1689">
        <f t="shared" si="54"/>
        <v>0</v>
      </c>
      <c r="M310" s="1689">
        <f t="shared" si="54"/>
        <v>0</v>
      </c>
      <c r="N310" s="1689">
        <f t="shared" si="54"/>
        <v>0</v>
      </c>
      <c r="O310" s="1689"/>
      <c r="P310" s="1689"/>
      <c r="Q310" s="985"/>
      <c r="R310" s="985"/>
      <c r="S310" s="985"/>
      <c r="T310" s="1858">
        <f t="shared" si="46"/>
        <v>0</v>
      </c>
    </row>
    <row r="311" spans="1:20" ht="22.2" hidden="1" customHeight="1">
      <c r="A311" s="1444">
        <f>COUNTIF($C$12:C311,"x")</f>
        <v>14</v>
      </c>
      <c r="B311" s="1461" t="s">
        <v>639</v>
      </c>
      <c r="C311" s="60" t="str">
        <f t="shared" si="47"/>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6"/>
        <v>0</v>
      </c>
    </row>
    <row r="312" spans="1:20" ht="22.2" hidden="1" customHeight="1">
      <c r="A312" s="1444">
        <f>COUNTIF($C$12:C312,"x")</f>
        <v>14</v>
      </c>
      <c r="B312" s="1461" t="s">
        <v>21</v>
      </c>
      <c r="C312" s="60" t="str">
        <f t="shared" si="47"/>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6"/>
        <v>0</v>
      </c>
    </row>
    <row r="313" spans="1:20" ht="22.2" hidden="1" customHeight="1">
      <c r="A313" s="1444">
        <f>COUNTIF($C$12:C313,"x")</f>
        <v>14</v>
      </c>
      <c r="B313" s="1461" t="s">
        <v>637</v>
      </c>
      <c r="C313" s="60" t="str">
        <f t="shared" si="47"/>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6"/>
        <v>0</v>
      </c>
    </row>
    <row r="314" spans="1:20" ht="22.2" hidden="1" customHeight="1">
      <c r="A314" s="1444">
        <f>COUNTIF($C$12:C314,"x")</f>
        <v>14</v>
      </c>
      <c r="B314" s="1449" t="s">
        <v>2063</v>
      </c>
      <c r="C314" s="60" t="str">
        <f t="shared" si="47"/>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6"/>
        <v>0</v>
      </c>
    </row>
    <row r="315" spans="1:20" ht="22.2" hidden="1" customHeight="1">
      <c r="A315" s="1444">
        <f>COUNTIF($C$12:C315,"x")</f>
        <v>14</v>
      </c>
      <c r="B315" s="1460" t="s">
        <v>674</v>
      </c>
      <c r="C315" s="60" t="str">
        <f t="shared" si="47"/>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6"/>
        <v>0</v>
      </c>
    </row>
    <row r="316" spans="1:20" ht="22.2" hidden="1" customHeight="1">
      <c r="A316" s="1444">
        <f>COUNTIF($C$12:C316,"x")</f>
        <v>14</v>
      </c>
      <c r="B316" s="1449" t="s">
        <v>635</v>
      </c>
      <c r="C316" s="60" t="str">
        <f t="shared" si="47"/>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6"/>
        <v>0</v>
      </c>
    </row>
    <row r="317" spans="1:20" ht="22.2" hidden="1" customHeight="1">
      <c r="A317" s="1444">
        <f>COUNTIF($C$12:C317,"x")</f>
        <v>14</v>
      </c>
      <c r="B317" s="1448" t="s">
        <v>2180</v>
      </c>
      <c r="C317" s="59" t="str">
        <f t="shared" si="47"/>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2" hidden="1" customHeight="1">
      <c r="A318" s="1444">
        <f>COUNTIF($C$12:C318,"x")</f>
        <v>14</v>
      </c>
      <c r="B318" s="1461" t="s">
        <v>1575</v>
      </c>
      <c r="C318" s="60" t="str">
        <f t="shared" si="47"/>
        <v xml:space="preserve"> </v>
      </c>
      <c r="D318" s="1414">
        <v>1</v>
      </c>
      <c r="E318" s="976" t="str">
        <f>VLOOKUP($B318,DG!A:D,DG!$B$2,)</f>
        <v>04.3801</v>
      </c>
      <c r="F318" s="986" t="str">
        <f>VLOOKUP($B318,DG!A:D,DG!$C$2,)</f>
        <v>Đà cản BTCT 1,5m</v>
      </c>
      <c r="G318" s="980" t="str">
        <f>VLOOKUP($B318,DG!A:D,DG!$D$2,)</f>
        <v>cái</v>
      </c>
      <c r="H318" s="1690">
        <f t="shared" ref="H318:N320" si="55">H$317*$D318</f>
        <v>0</v>
      </c>
      <c r="I318" s="1690">
        <f t="shared" si="55"/>
        <v>0</v>
      </c>
      <c r="J318" s="1690">
        <f t="shared" si="55"/>
        <v>0</v>
      </c>
      <c r="K318" s="1690">
        <f t="shared" si="55"/>
        <v>0</v>
      </c>
      <c r="L318" s="1690">
        <f t="shared" si="55"/>
        <v>0</v>
      </c>
      <c r="M318" s="1690">
        <f t="shared" si="55"/>
        <v>0</v>
      </c>
      <c r="N318" s="1690">
        <f t="shared" si="55"/>
        <v>0</v>
      </c>
      <c r="O318" s="1690"/>
      <c r="P318" s="1690"/>
      <c r="Q318" s="984"/>
      <c r="R318" s="984"/>
      <c r="S318" s="984"/>
      <c r="T318" s="1858">
        <f t="shared" si="46"/>
        <v>0</v>
      </c>
    </row>
    <row r="319" spans="1:20" ht="22.2" hidden="1" customHeight="1">
      <c r="A319" s="1444">
        <f>COUNTIF($C$12:C319,"x")</f>
        <v>14</v>
      </c>
      <c r="B319" s="1461" t="s">
        <v>636</v>
      </c>
      <c r="C319" s="60" t="str">
        <f t="shared" si="47"/>
        <v xml:space="preserve"> </v>
      </c>
      <c r="D319" s="1414">
        <v>2</v>
      </c>
      <c r="E319" s="976" t="str">
        <f>VLOOKUP($B319,DG!A:D,DG!$B$2,)</f>
        <v>04.4001</v>
      </c>
      <c r="F319" s="986" t="str">
        <f>VLOOKUP($B319,DG!A:D,DG!$C$2,)&amp;" hieän höõu"</f>
        <v>Đà cản BTCT 1,2m hieän höõu</v>
      </c>
      <c r="G319" s="980" t="str">
        <f>VLOOKUP($B319,DG!A:D,DG!$D$2,)</f>
        <v>cái</v>
      </c>
      <c r="H319" s="1690">
        <f t="shared" si="55"/>
        <v>0</v>
      </c>
      <c r="I319" s="1690">
        <f t="shared" si="55"/>
        <v>0</v>
      </c>
      <c r="J319" s="1690">
        <f t="shared" si="55"/>
        <v>0</v>
      </c>
      <c r="K319" s="1690">
        <f t="shared" si="55"/>
        <v>0</v>
      </c>
      <c r="L319" s="1690">
        <f t="shared" si="55"/>
        <v>0</v>
      </c>
      <c r="M319" s="1690">
        <f t="shared" si="55"/>
        <v>0</v>
      </c>
      <c r="N319" s="1690">
        <f t="shared" si="55"/>
        <v>0</v>
      </c>
      <c r="O319" s="1690"/>
      <c r="P319" s="1690"/>
      <c r="Q319" s="984"/>
      <c r="R319" s="984"/>
      <c r="S319" s="984"/>
      <c r="T319" s="1858">
        <f t="shared" si="46"/>
        <v>0</v>
      </c>
    </row>
    <row r="320" spans="1:20" ht="22.2" hidden="1" customHeight="1">
      <c r="A320" s="1444">
        <f>COUNTIF($C$12:C320,"x")</f>
        <v>14</v>
      </c>
      <c r="B320" s="1461" t="s">
        <v>1828</v>
      </c>
      <c r="C320" s="60" t="str">
        <f t="shared" si="47"/>
        <v xml:space="preserve"> </v>
      </c>
      <c r="D320" s="1414">
        <v>1</v>
      </c>
      <c r="E320" s="980"/>
      <c r="F320" s="986" t="str">
        <f>VLOOKUP($B320,DG!A:D,DG!$C$2,)</f>
        <v>Boulon 22x700+ 2 long đền vuông D24-50x50x3/Zn</v>
      </c>
      <c r="G320" s="980" t="str">
        <f>VLOOKUP($B320,DG!A:D,DG!$D$2,)</f>
        <v>bộ</v>
      </c>
      <c r="H320" s="1690">
        <f t="shared" si="55"/>
        <v>0</v>
      </c>
      <c r="I320" s="1690">
        <f t="shared" si="55"/>
        <v>0</v>
      </c>
      <c r="J320" s="1690">
        <f t="shared" si="55"/>
        <v>0</v>
      </c>
      <c r="K320" s="1690">
        <f t="shared" si="55"/>
        <v>0</v>
      </c>
      <c r="L320" s="1690">
        <f t="shared" si="55"/>
        <v>0</v>
      </c>
      <c r="M320" s="1690">
        <f t="shared" si="55"/>
        <v>0</v>
      </c>
      <c r="N320" s="1690">
        <f t="shared" si="55"/>
        <v>0</v>
      </c>
      <c r="O320" s="1690"/>
      <c r="P320" s="1690"/>
      <c r="Q320" s="984"/>
      <c r="R320" s="984"/>
      <c r="S320" s="984"/>
      <c r="T320" s="1858">
        <f t="shared" si="46"/>
        <v>0</v>
      </c>
    </row>
    <row r="321" spans="1:20" ht="22.2" hidden="1" customHeight="1">
      <c r="A321" s="1444">
        <f>COUNTIF($C$12:C321,"x")</f>
        <v>14</v>
      </c>
      <c r="B321" s="1461" t="s">
        <v>639</v>
      </c>
      <c r="C321" s="60" t="str">
        <f t="shared" si="47"/>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6"/>
        <v>0</v>
      </c>
    </row>
    <row r="322" spans="1:20" ht="22.2" hidden="1" customHeight="1">
      <c r="A322" s="1444">
        <f>COUNTIF($C$12:C322,"x")</f>
        <v>14</v>
      </c>
      <c r="B322" s="1461" t="s">
        <v>21</v>
      </c>
      <c r="C322" s="60" t="str">
        <f t="shared" si="47"/>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6"/>
        <v>0</v>
      </c>
    </row>
    <row r="323" spans="1:20" ht="22.2" hidden="1" customHeight="1">
      <c r="A323" s="1444">
        <f>COUNTIF($C$12:C323,"x")</f>
        <v>14</v>
      </c>
      <c r="B323" s="1461" t="s">
        <v>637</v>
      </c>
      <c r="C323" s="60" t="str">
        <f t="shared" si="47"/>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6"/>
        <v>0</v>
      </c>
    </row>
    <row r="324" spans="1:20" ht="22.2" hidden="1" customHeight="1">
      <c r="A324" s="1444">
        <f>COUNTIF($C$12:C324,"x")</f>
        <v>14</v>
      </c>
      <c r="B324" s="1449" t="s">
        <v>2063</v>
      </c>
      <c r="C324" s="60" t="str">
        <f t="shared" si="47"/>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6"/>
        <v>0</v>
      </c>
    </row>
    <row r="325" spans="1:20" ht="22.2" hidden="1" customHeight="1">
      <c r="A325" s="1444">
        <f>COUNTIF($C$12:C325,"x")</f>
        <v>14</v>
      </c>
      <c r="B325" s="1449" t="s">
        <v>635</v>
      </c>
      <c r="C325" s="60" t="str">
        <f t="shared" si="47"/>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6"/>
        <v>0</v>
      </c>
    </row>
    <row r="326" spans="1:20" ht="22.2" hidden="1" customHeight="1">
      <c r="A326" s="1444">
        <f>COUNTIF($C$12:C326,"x")</f>
        <v>14</v>
      </c>
      <c r="B326" s="1448" t="s">
        <v>500</v>
      </c>
      <c r="C326" s="59" t="str">
        <f t="shared" si="47"/>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2" hidden="1" customHeight="1">
      <c r="A327" s="1444">
        <f>COUNTIF($C$12:C327,"x")</f>
        <v>14</v>
      </c>
      <c r="B327" s="1461" t="s">
        <v>1575</v>
      </c>
      <c r="C327" s="60" t="str">
        <f t="shared" si="47"/>
        <v xml:space="preserve"> </v>
      </c>
      <c r="D327" s="1414">
        <v>1</v>
      </c>
      <c r="E327" s="976" t="str">
        <f>VLOOKUP($B327,DG!A:D,DG!$B$2,)</f>
        <v>04.3801</v>
      </c>
      <c r="F327" s="986" t="str">
        <f>VLOOKUP($B327,DG!A:D,DG!$C$2,)</f>
        <v>Đà cản BTCT 1,5m</v>
      </c>
      <c r="G327" s="980" t="str">
        <f>VLOOKUP($B327,DG!A:D,DG!$D$2,)</f>
        <v>cái</v>
      </c>
      <c r="H327" s="1690">
        <f t="shared" ref="H327:N329" si="56">H$326*$D327</f>
        <v>0</v>
      </c>
      <c r="I327" s="1690">
        <f t="shared" si="56"/>
        <v>0</v>
      </c>
      <c r="J327" s="1690">
        <f t="shared" si="56"/>
        <v>0</v>
      </c>
      <c r="K327" s="1690">
        <f t="shared" si="56"/>
        <v>0</v>
      </c>
      <c r="L327" s="1690">
        <f t="shared" si="56"/>
        <v>0</v>
      </c>
      <c r="M327" s="1690">
        <f t="shared" si="56"/>
        <v>0</v>
      </c>
      <c r="N327" s="1690">
        <f t="shared" si="56"/>
        <v>0</v>
      </c>
      <c r="O327" s="1690"/>
      <c r="P327" s="1690"/>
      <c r="Q327" s="984"/>
      <c r="R327" s="984"/>
      <c r="S327" s="984"/>
      <c r="T327" s="1858">
        <f t="shared" si="46"/>
        <v>0</v>
      </c>
    </row>
    <row r="328" spans="1:20" ht="22.2" hidden="1" customHeight="1">
      <c r="A328" s="1444">
        <f>COUNTIF($C$12:C328,"x")</f>
        <v>14</v>
      </c>
      <c r="B328" s="1461" t="s">
        <v>636</v>
      </c>
      <c r="C328" s="60" t="str">
        <f t="shared" si="47"/>
        <v xml:space="preserve"> </v>
      </c>
      <c r="D328" s="1414">
        <v>2</v>
      </c>
      <c r="E328" s="976" t="str">
        <f>VLOOKUP($B328,DG!A:D,DG!$B$2,)</f>
        <v>04.4001</v>
      </c>
      <c r="F328" s="986" t="str">
        <f>VLOOKUP($B328,DG!A:D,DG!$C$2,)&amp;" hieän höõu"</f>
        <v>Đà cản BTCT 1,2m hieän höõu</v>
      </c>
      <c r="G328" s="980" t="str">
        <f>VLOOKUP($B328,DG!A:D,DG!$D$2,)</f>
        <v>cái</v>
      </c>
      <c r="H328" s="1690">
        <f t="shared" si="56"/>
        <v>0</v>
      </c>
      <c r="I328" s="1690">
        <f t="shared" si="56"/>
        <v>0</v>
      </c>
      <c r="J328" s="1690">
        <f t="shared" si="56"/>
        <v>0</v>
      </c>
      <c r="K328" s="1690">
        <f t="shared" si="56"/>
        <v>0</v>
      </c>
      <c r="L328" s="1690">
        <f t="shared" si="56"/>
        <v>0</v>
      </c>
      <c r="M328" s="1690">
        <f t="shared" si="56"/>
        <v>0</v>
      </c>
      <c r="N328" s="1690">
        <f t="shared" si="56"/>
        <v>0</v>
      </c>
      <c r="O328" s="1690"/>
      <c r="P328" s="1690"/>
      <c r="Q328" s="984"/>
      <c r="R328" s="984"/>
      <c r="S328" s="984"/>
      <c r="T328" s="1858">
        <f t="shared" si="46"/>
        <v>0</v>
      </c>
    </row>
    <row r="329" spans="1:20" ht="22.2" hidden="1" customHeight="1">
      <c r="A329" s="1444">
        <f>COUNTIF($C$12:C329,"x")</f>
        <v>14</v>
      </c>
      <c r="B329" s="1461" t="s">
        <v>1828</v>
      </c>
      <c r="C329" s="60" t="str">
        <f t="shared" si="47"/>
        <v xml:space="preserve"> </v>
      </c>
      <c r="D329" s="1414">
        <v>2</v>
      </c>
      <c r="E329" s="980"/>
      <c r="F329" s="986" t="str">
        <f>VLOOKUP($B329,DG!A:D,DG!$C$2,)</f>
        <v>Boulon 22x700+ 2 long đền vuông D24-50x50x3/Zn</v>
      </c>
      <c r="G329" s="980" t="str">
        <f>VLOOKUP($B329,DG!A:D,DG!$D$2,)</f>
        <v>bộ</v>
      </c>
      <c r="H329" s="1690">
        <f t="shared" si="56"/>
        <v>0</v>
      </c>
      <c r="I329" s="1690">
        <f t="shared" si="56"/>
        <v>0</v>
      </c>
      <c r="J329" s="1690">
        <f t="shared" si="56"/>
        <v>0</v>
      </c>
      <c r="K329" s="1690">
        <f t="shared" si="56"/>
        <v>0</v>
      </c>
      <c r="L329" s="1690">
        <f t="shared" si="56"/>
        <v>0</v>
      </c>
      <c r="M329" s="1690">
        <f t="shared" si="56"/>
        <v>0</v>
      </c>
      <c r="N329" s="1690">
        <f t="shared" si="56"/>
        <v>0</v>
      </c>
      <c r="O329" s="1690"/>
      <c r="P329" s="1690"/>
      <c r="Q329" s="984"/>
      <c r="R329" s="984"/>
      <c r="S329" s="984"/>
      <c r="T329" s="1858">
        <f t="shared" si="46"/>
        <v>0</v>
      </c>
    </row>
    <row r="330" spans="1:20" ht="22.2" hidden="1" customHeight="1">
      <c r="A330" s="1444">
        <f>COUNTIF($C$12:C330,"x")</f>
        <v>14</v>
      </c>
      <c r="B330" s="1461" t="s">
        <v>639</v>
      </c>
      <c r="C330" s="60" t="str">
        <f t="shared" si="47"/>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6"/>
        <v>0</v>
      </c>
    </row>
    <row r="331" spans="1:20" ht="22.2" hidden="1" customHeight="1">
      <c r="A331" s="1444">
        <f>COUNTIF($C$12:C331,"x")</f>
        <v>14</v>
      </c>
      <c r="B331" s="1461" t="s">
        <v>21</v>
      </c>
      <c r="C331" s="60" t="str">
        <f t="shared" si="47"/>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6"/>
        <v>0</v>
      </c>
    </row>
    <row r="332" spans="1:20" ht="22.2" hidden="1" customHeight="1">
      <c r="A332" s="1444">
        <f>COUNTIF($C$12:C332,"x")</f>
        <v>14</v>
      </c>
      <c r="B332" s="1461" t="s">
        <v>637</v>
      </c>
      <c r="C332" s="60" t="str">
        <f t="shared" si="47"/>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6"/>
        <v>0</v>
      </c>
    </row>
    <row r="333" spans="1:20" ht="22.2" hidden="1" customHeight="1">
      <c r="A333" s="1444">
        <f>COUNTIF($C$12:C333,"x")</f>
        <v>14</v>
      </c>
      <c r="B333" s="1449" t="s">
        <v>2063</v>
      </c>
      <c r="C333" s="60" t="str">
        <f t="shared" si="47"/>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6"/>
        <v>0</v>
      </c>
    </row>
    <row r="334" spans="1:20" ht="22.2" hidden="1" customHeight="1">
      <c r="A334" s="1444">
        <f>COUNTIF($C$12:C334,"x")</f>
        <v>14</v>
      </c>
      <c r="B334" s="1449" t="s">
        <v>635</v>
      </c>
      <c r="C334" s="60" t="str">
        <f t="shared" si="47"/>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7">IFERROR(HLOOKUP(B334,BangKeTru,3,0),0)</f>
        <v>0</v>
      </c>
    </row>
    <row r="335" spans="1:20" ht="22.2" hidden="1" customHeight="1">
      <c r="A335" s="1444">
        <f>COUNTIF($C$12:C335,"x")</f>
        <v>14</v>
      </c>
      <c r="B335" s="1448" t="s">
        <v>2304</v>
      </c>
      <c r="C335" s="59" t="str">
        <f t="shared" ref="C335:C401" si="58">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2" hidden="1" customHeight="1">
      <c r="A336" s="1444">
        <f>COUNTIF($C$12:C336,"x")</f>
        <v>14</v>
      </c>
      <c r="B336" s="1461" t="s">
        <v>820</v>
      </c>
      <c r="C336" s="60" t="str">
        <f t="shared" si="58"/>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7"/>
        <v>0</v>
      </c>
    </row>
    <row r="337" spans="1:21" ht="22.2" hidden="1" customHeight="1">
      <c r="A337" s="1444">
        <f>COUNTIF($C$12:C337,"x")</f>
        <v>14</v>
      </c>
      <c r="B337" s="1461" t="s">
        <v>957</v>
      </c>
      <c r="C337" s="60" t="str">
        <f t="shared" si="58"/>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7"/>
        <v>0</v>
      </c>
    </row>
    <row r="338" spans="1:21" ht="22.2" hidden="1" customHeight="1">
      <c r="A338" s="1444">
        <f>COUNTIF($C$12:C338,"x")</f>
        <v>14</v>
      </c>
      <c r="B338" s="1461" t="s">
        <v>1826</v>
      </c>
      <c r="C338" s="60" t="str">
        <f t="shared" si="58"/>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7"/>
        <v>0</v>
      </c>
    </row>
    <row r="339" spans="1:21" ht="22.2" customHeight="1">
      <c r="A339" s="1444">
        <f>COUNTIF($C$12:C339,"x")</f>
        <v>15</v>
      </c>
      <c r="B339" s="1448" t="s">
        <v>2305</v>
      </c>
      <c r="C339" s="60" t="str">
        <f t="shared" si="58"/>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1687">
        <f>T339</f>
        <v>1</v>
      </c>
      <c r="Q339" s="2666">
        <f>IF(P339&gt;H339,P339-H339,0)</f>
        <v>0</v>
      </c>
      <c r="R339" s="979">
        <f>IF(H339&gt;P339,H339-P339,0)</f>
        <v>0</v>
      </c>
      <c r="S339" s="979"/>
      <c r="T339" s="1858">
        <f>IFERROR(HLOOKUP(B339,pp1p!$1:$3,3,0),0)+IFERROR(HLOOKUP(B339,pp3p1m!$1:$3,3,0),0)</f>
        <v>1</v>
      </c>
    </row>
    <row r="340" spans="1:21" ht="22.2" hidden="1" customHeight="1">
      <c r="A340" s="1444">
        <f>COUNTIF($C$12:C340,"x")</f>
        <v>16</v>
      </c>
      <c r="B340" s="1449" t="s">
        <v>751</v>
      </c>
      <c r="C340" s="60" t="str">
        <f t="shared" si="58"/>
        <v>x</v>
      </c>
      <c r="D340" s="1415">
        <v>0.35199999999999998</v>
      </c>
      <c r="E340" s="980">
        <f>VLOOKUP($B340,DG!A:D,DG!$B$2,)</f>
        <v>0</v>
      </c>
      <c r="F340" s="986" t="str">
        <f>VLOOKUP($B340,DG!A:D,DG!$C$2,)</f>
        <v>Ximăng (PC40)</v>
      </c>
      <c r="G340" s="980" t="str">
        <f>VLOOKUP($B340,DG!A:D,DG!$D$2,)</f>
        <v>kg</v>
      </c>
      <c r="H340" s="1690">
        <f t="shared" ref="H340:O344" si="59">H$339*$D340</f>
        <v>0.35199999999999998</v>
      </c>
      <c r="I340" s="1690">
        <f t="shared" si="59"/>
        <v>0</v>
      </c>
      <c r="J340" s="1690">
        <f t="shared" si="59"/>
        <v>0</v>
      </c>
      <c r="K340" s="1690">
        <f t="shared" si="59"/>
        <v>0.35199999999999998</v>
      </c>
      <c r="L340" s="1690">
        <f t="shared" si="59"/>
        <v>0</v>
      </c>
      <c r="M340" s="1690">
        <f t="shared" si="59"/>
        <v>0</v>
      </c>
      <c r="N340" s="1690">
        <f t="shared" si="59"/>
        <v>0</v>
      </c>
      <c r="O340" s="1690">
        <f t="shared" si="59"/>
        <v>0</v>
      </c>
      <c r="P340" s="1690">
        <f>$P$339*D340</f>
        <v>0.35199999999999998</v>
      </c>
      <c r="Q340" s="2667"/>
      <c r="R340" s="984"/>
      <c r="S340" s="984"/>
      <c r="T340" s="1858">
        <f t="shared" si="57"/>
        <v>0</v>
      </c>
      <c r="U340" s="2664">
        <f>D340</f>
        <v>0.35199999999999998</v>
      </c>
    </row>
    <row r="341" spans="1:21" ht="22.2" hidden="1" customHeight="1">
      <c r="A341" s="1444">
        <f>COUNTIF($C$12:C341,"x")</f>
        <v>17</v>
      </c>
      <c r="B341" s="1450" t="s">
        <v>4412</v>
      </c>
      <c r="C341" s="60" t="str">
        <f t="shared" si="58"/>
        <v>x</v>
      </c>
      <c r="D341" s="1412">
        <v>0.56499999999999995</v>
      </c>
      <c r="E341" s="980">
        <f>VLOOKUP($B341,DG!A:D,DG!$B$2,)</f>
        <v>0</v>
      </c>
      <c r="F341" s="986" t="str">
        <f>VLOOKUP($B341,DG!A:D,DG!$C$2,)</f>
        <v>Cát vàng</v>
      </c>
      <c r="G341" s="980" t="str">
        <f>VLOOKUP($B341,DG!A:D,DG!$D$2,)</f>
        <v>m3</v>
      </c>
      <c r="H341" s="1690">
        <f t="shared" si="59"/>
        <v>0.56499999999999995</v>
      </c>
      <c r="I341" s="1690">
        <f t="shared" si="59"/>
        <v>0</v>
      </c>
      <c r="J341" s="1690">
        <f t="shared" si="59"/>
        <v>0</v>
      </c>
      <c r="K341" s="1690">
        <f t="shared" si="59"/>
        <v>0.56499999999999995</v>
      </c>
      <c r="L341" s="1690">
        <f t="shared" si="59"/>
        <v>0</v>
      </c>
      <c r="M341" s="1690">
        <f t="shared" si="59"/>
        <v>0</v>
      </c>
      <c r="N341" s="1690">
        <f t="shared" si="59"/>
        <v>0</v>
      </c>
      <c r="O341" s="1690">
        <f t="shared" si="59"/>
        <v>0</v>
      </c>
      <c r="P341" s="1690">
        <f>$P$339*D341</f>
        <v>0.56499999999999995</v>
      </c>
      <c r="Q341" s="2667"/>
      <c r="R341" s="982"/>
      <c r="S341" s="982"/>
      <c r="T341" s="1858">
        <f t="shared" si="57"/>
        <v>0</v>
      </c>
      <c r="U341" s="2664">
        <f t="shared" ref="U341:U342" si="60">D341</f>
        <v>0.56499999999999995</v>
      </c>
    </row>
    <row r="342" spans="1:21" ht="22.2" hidden="1" customHeight="1">
      <c r="A342" s="1444">
        <f>COUNTIF($C$12:C342,"x")</f>
        <v>18</v>
      </c>
      <c r="B342" s="1449" t="s">
        <v>867</v>
      </c>
      <c r="C342" s="60" t="str">
        <f t="shared" si="58"/>
        <v>x</v>
      </c>
      <c r="D342" s="1412">
        <v>1.0489999999999999</v>
      </c>
      <c r="E342" s="980">
        <f>VLOOKUP($B342,DG!A:D,DG!$B$2,)</f>
        <v>0</v>
      </c>
      <c r="F342" s="986" t="str">
        <f>VLOOKUP($B342,DG!A:D,DG!$C$2,)</f>
        <v>Đá 1x2</v>
      </c>
      <c r="G342" s="980" t="str">
        <f>VLOOKUP($B342,DG!A:D,DG!$D$2,)</f>
        <v>m3</v>
      </c>
      <c r="H342" s="1690">
        <f t="shared" si="59"/>
        <v>1.0489999999999999</v>
      </c>
      <c r="I342" s="1690">
        <f t="shared" si="59"/>
        <v>0</v>
      </c>
      <c r="J342" s="1690">
        <f t="shared" si="59"/>
        <v>0</v>
      </c>
      <c r="K342" s="1690">
        <f t="shared" si="59"/>
        <v>1.0489999999999999</v>
      </c>
      <c r="L342" s="1690">
        <f t="shared" si="59"/>
        <v>0</v>
      </c>
      <c r="M342" s="1690">
        <f t="shared" si="59"/>
        <v>0</v>
      </c>
      <c r="N342" s="1690">
        <f t="shared" si="59"/>
        <v>0</v>
      </c>
      <c r="O342" s="1690">
        <f t="shared" si="59"/>
        <v>0</v>
      </c>
      <c r="P342" s="1690">
        <f>$P$339*D342</f>
        <v>1.0489999999999999</v>
      </c>
      <c r="Q342" s="2667"/>
      <c r="R342" s="982"/>
      <c r="S342" s="982"/>
      <c r="T342" s="1858">
        <f t="shared" si="57"/>
        <v>0</v>
      </c>
      <c r="U342" s="2664">
        <f t="shared" si="60"/>
        <v>1.0489999999999999</v>
      </c>
    </row>
    <row r="343" spans="1:21" ht="22.2" hidden="1" customHeight="1">
      <c r="A343" s="1444">
        <f>COUNTIF($C$12:C343,"x")</f>
        <v>18</v>
      </c>
      <c r="B343" s="1449" t="s">
        <v>995</v>
      </c>
      <c r="C343" s="60" t="str">
        <f t="shared" si="58"/>
        <v xml:space="preserve"> </v>
      </c>
      <c r="D343" s="1412"/>
      <c r="E343" s="980">
        <f>VLOOKUP($B343,DG!A:D,DG!$B$2,)</f>
        <v>0</v>
      </c>
      <c r="F343" s="986" t="str">
        <f>VLOOKUP($B343,DG!A:D,DG!$C$2,)</f>
        <v>Sắt Ø10</v>
      </c>
      <c r="G343" s="980" t="str">
        <f>VLOOKUP($B343,DG!A:D,DG!$D$2,)</f>
        <v>kg</v>
      </c>
      <c r="H343" s="1690">
        <f t="shared" si="59"/>
        <v>0</v>
      </c>
      <c r="I343" s="1690">
        <f t="shared" si="59"/>
        <v>0</v>
      </c>
      <c r="J343" s="1690">
        <f t="shared" si="59"/>
        <v>0</v>
      </c>
      <c r="K343" s="1690">
        <f t="shared" si="59"/>
        <v>0</v>
      </c>
      <c r="L343" s="1690">
        <f t="shared" si="59"/>
        <v>0</v>
      </c>
      <c r="M343" s="1690">
        <f t="shared" si="59"/>
        <v>0</v>
      </c>
      <c r="N343" s="1690">
        <f t="shared" si="59"/>
        <v>0</v>
      </c>
      <c r="O343" s="1690">
        <f t="shared" si="59"/>
        <v>0</v>
      </c>
      <c r="P343" s="1690"/>
      <c r="Q343" s="982"/>
      <c r="R343" s="982"/>
      <c r="S343" s="982"/>
      <c r="T343" s="1858">
        <f t="shared" si="57"/>
        <v>0</v>
      </c>
    </row>
    <row r="344" spans="1:21" ht="22.2" hidden="1" customHeight="1">
      <c r="A344" s="1444">
        <f>COUNTIF($C$12:C344,"x")</f>
        <v>18</v>
      </c>
      <c r="B344" s="1449" t="s">
        <v>996</v>
      </c>
      <c r="C344" s="60" t="str">
        <f t="shared" si="58"/>
        <v xml:space="preserve"> </v>
      </c>
      <c r="D344" s="1412"/>
      <c r="E344" s="980">
        <f>VLOOKUP($B344,DG!A:D,DG!$B$2,)</f>
        <v>0</v>
      </c>
      <c r="F344" s="986" t="str">
        <f>VLOOKUP($B344,DG!A:D,DG!$C$2,)</f>
        <v>Kẽm</v>
      </c>
      <c r="G344" s="980" t="str">
        <f>VLOOKUP($B344,DG!A:D,DG!$D$2,)</f>
        <v>kg</v>
      </c>
      <c r="H344" s="1690">
        <f t="shared" si="59"/>
        <v>0</v>
      </c>
      <c r="I344" s="1690">
        <f t="shared" si="59"/>
        <v>0</v>
      </c>
      <c r="J344" s="1690">
        <f t="shared" si="59"/>
        <v>0</v>
      </c>
      <c r="K344" s="1690">
        <f t="shared" si="59"/>
        <v>0</v>
      </c>
      <c r="L344" s="1690">
        <f t="shared" si="59"/>
        <v>0</v>
      </c>
      <c r="M344" s="1690">
        <f t="shared" si="59"/>
        <v>0</v>
      </c>
      <c r="N344" s="1690">
        <f t="shared" si="59"/>
        <v>0</v>
      </c>
      <c r="O344" s="1690">
        <f t="shared" si="59"/>
        <v>0</v>
      </c>
      <c r="P344" s="1690"/>
      <c r="Q344" s="982"/>
      <c r="R344" s="982"/>
      <c r="S344" s="982"/>
      <c r="T344" s="1858">
        <f t="shared" si="57"/>
        <v>0</v>
      </c>
    </row>
    <row r="345" spans="1:21" ht="22.2" hidden="1" customHeight="1">
      <c r="A345" s="1444">
        <f>COUNTIF($C$12:C345,"x")</f>
        <v>18</v>
      </c>
      <c r="B345" s="1451" t="s">
        <v>639</v>
      </c>
      <c r="C345" s="60" t="str">
        <f t="shared" si="58"/>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1">I$339*$D345</f>
        <v>0</v>
      </c>
      <c r="J345" s="1690">
        <f t="shared" si="61"/>
        <v>0</v>
      </c>
      <c r="K345" s="1690">
        <f t="shared" si="61"/>
        <v>1.28</v>
      </c>
      <c r="L345" s="1690">
        <f t="shared" si="61"/>
        <v>0</v>
      </c>
      <c r="M345" s="1690">
        <f t="shared" si="61"/>
        <v>0</v>
      </c>
      <c r="N345" s="1690">
        <f t="shared" si="61"/>
        <v>0</v>
      </c>
      <c r="O345" s="1690">
        <f t="shared" si="61"/>
        <v>0</v>
      </c>
      <c r="P345" s="1690"/>
      <c r="Q345" s="987"/>
      <c r="R345" s="987"/>
      <c r="S345" s="987"/>
      <c r="T345" s="1858">
        <f t="shared" si="57"/>
        <v>0</v>
      </c>
    </row>
    <row r="346" spans="1:21" ht="22.2" hidden="1" customHeight="1">
      <c r="A346" s="1444">
        <f>COUNTIF($C$12:C346,"x")</f>
        <v>19</v>
      </c>
      <c r="B346" s="1449" t="s">
        <v>21</v>
      </c>
      <c r="C346" s="60" t="str">
        <f t="shared" si="58"/>
        <v>x</v>
      </c>
      <c r="D346" s="1412">
        <v>1.28</v>
      </c>
      <c r="E346" s="980" t="str">
        <f>VLOOKUP($B346,DG!A:D,DG!$B$2,)</f>
        <v>03.4113</v>
      </c>
      <c r="F346" s="981" t="str">
        <f>VLOOKUP($B346,DG!A:D,DG!$C$2,)</f>
        <v>Đắp đất hố móng, độ chặt k=0,95</v>
      </c>
      <c r="G346" s="980" t="str">
        <f>VLOOKUP($B346,DG!A:D,DG!$D$2,)</f>
        <v>m3</v>
      </c>
      <c r="H346" s="1690">
        <f>H$339*$D346</f>
        <v>1.28</v>
      </c>
      <c r="I346" s="1690">
        <f t="shared" si="61"/>
        <v>0</v>
      </c>
      <c r="J346" s="1690">
        <f t="shared" si="61"/>
        <v>0</v>
      </c>
      <c r="K346" s="1690">
        <f t="shared" si="61"/>
        <v>1.28</v>
      </c>
      <c r="L346" s="1690">
        <f t="shared" si="61"/>
        <v>0</v>
      </c>
      <c r="M346" s="1690">
        <f t="shared" si="61"/>
        <v>0</v>
      </c>
      <c r="N346" s="1690">
        <f t="shared" si="61"/>
        <v>0</v>
      </c>
      <c r="O346" s="1690">
        <f t="shared" si="61"/>
        <v>0</v>
      </c>
      <c r="P346" s="1690">
        <f>$P$339*D346</f>
        <v>1.28</v>
      </c>
      <c r="Q346" s="2667"/>
      <c r="R346" s="987"/>
      <c r="S346" s="987"/>
      <c r="T346" s="1858">
        <f t="shared" si="57"/>
        <v>0</v>
      </c>
      <c r="U346" s="2664">
        <f>D346</f>
        <v>1.28</v>
      </c>
    </row>
    <row r="347" spans="1:21" ht="22.2" hidden="1" customHeight="1">
      <c r="A347" s="1444">
        <f>COUNTIF($C$12:C347,"x")</f>
        <v>19</v>
      </c>
      <c r="B347" s="1449" t="s">
        <v>1293</v>
      </c>
      <c r="C347" s="60" t="str">
        <f t="shared" si="58"/>
        <v xml:space="preserve"> </v>
      </c>
      <c r="D347" s="1412"/>
      <c r="E347" s="980" t="str">
        <f>VLOOKUP($B347,DG!A:D,DG!$B$2,)</f>
        <v>02.1101</v>
      </c>
      <c r="F347" s="981" t="str">
        <f>VLOOKUP($B347,DG!A:D,DG!$C$2,)</f>
        <v>Bốc dỡ xi măng</v>
      </c>
      <c r="G347" s="980" t="str">
        <f>VLOOKUP($B347,DG!A:D,DG!$D$2,)</f>
        <v>tấn</v>
      </c>
      <c r="H347" s="1690">
        <f t="shared" ref="H347:H355" si="62">H$339*$D347</f>
        <v>0</v>
      </c>
      <c r="I347" s="1690">
        <f t="shared" si="61"/>
        <v>0</v>
      </c>
      <c r="J347" s="1690">
        <f t="shared" si="61"/>
        <v>0</v>
      </c>
      <c r="K347" s="1690">
        <f t="shared" si="61"/>
        <v>0</v>
      </c>
      <c r="L347" s="1690">
        <f t="shared" si="61"/>
        <v>0</v>
      </c>
      <c r="M347" s="1690">
        <f t="shared" si="61"/>
        <v>0</v>
      </c>
      <c r="N347" s="1690">
        <f t="shared" si="61"/>
        <v>0</v>
      </c>
      <c r="O347" s="1690">
        <f t="shared" si="61"/>
        <v>0</v>
      </c>
      <c r="P347" s="1690">
        <f t="shared" ref="P347:P355" si="63">$P$339*D347</f>
        <v>0</v>
      </c>
      <c r="Q347" s="987"/>
      <c r="R347" s="987"/>
      <c r="S347" s="987"/>
      <c r="T347" s="1858">
        <f t="shared" si="57"/>
        <v>0</v>
      </c>
    </row>
    <row r="348" spans="1:21" ht="22.2" hidden="1" customHeight="1">
      <c r="A348" s="1444">
        <f>COUNTIF($C$12:C348,"x")</f>
        <v>19</v>
      </c>
      <c r="B348" s="1449" t="s">
        <v>133</v>
      </c>
      <c r="C348" s="60" t="str">
        <f t="shared" si="58"/>
        <v xml:space="preserve"> </v>
      </c>
      <c r="D348" s="1412"/>
      <c r="E348" s="980" t="str">
        <f>VLOOKUP($B348,DG!A:D,DG!$B$2,)</f>
        <v>02.1103</v>
      </c>
      <c r="F348" s="981" t="str">
        <f>VLOOKUP($B348,DG!A:D,DG!$C$2,)</f>
        <v>Bốc dỡ cát</v>
      </c>
      <c r="G348" s="980" t="str">
        <f>VLOOKUP($B348,DG!A:D,DG!$D$2,)</f>
        <v>m3</v>
      </c>
      <c r="H348" s="1690">
        <f t="shared" si="62"/>
        <v>0</v>
      </c>
      <c r="I348" s="1690">
        <f t="shared" si="61"/>
        <v>0</v>
      </c>
      <c r="J348" s="1690">
        <f t="shared" si="61"/>
        <v>0</v>
      </c>
      <c r="K348" s="1690">
        <f t="shared" si="61"/>
        <v>0</v>
      </c>
      <c r="L348" s="1690">
        <f t="shared" si="61"/>
        <v>0</v>
      </c>
      <c r="M348" s="1690">
        <f t="shared" si="61"/>
        <v>0</v>
      </c>
      <c r="N348" s="1690">
        <f t="shared" si="61"/>
        <v>0</v>
      </c>
      <c r="O348" s="1690">
        <f t="shared" si="61"/>
        <v>0</v>
      </c>
      <c r="P348" s="1690">
        <f t="shared" si="63"/>
        <v>0</v>
      </c>
      <c r="Q348" s="987"/>
      <c r="R348" s="987"/>
      <c r="S348" s="987"/>
      <c r="T348" s="1858">
        <f t="shared" si="57"/>
        <v>0</v>
      </c>
    </row>
    <row r="349" spans="1:21" ht="22.2" hidden="1" customHeight="1">
      <c r="A349" s="1444">
        <f>COUNTIF($C$12:C349,"x")</f>
        <v>19</v>
      </c>
      <c r="B349" s="1449" t="s">
        <v>135</v>
      </c>
      <c r="C349" s="60" t="str">
        <f t="shared" si="58"/>
        <v xml:space="preserve"> </v>
      </c>
      <c r="D349" s="1412"/>
      <c r="E349" s="980" t="str">
        <f>VLOOKUP($B349,DG!A:D,DG!$B$2,)</f>
        <v>02.1104</v>
      </c>
      <c r="F349" s="981" t="str">
        <f>VLOOKUP($B349,DG!A:D,DG!$C$2,)</f>
        <v>Bốc dỡ đá dăm</v>
      </c>
      <c r="G349" s="980" t="str">
        <f>VLOOKUP($B349,DG!A:D,DG!$D$2,)</f>
        <v>m3</v>
      </c>
      <c r="H349" s="1690">
        <f t="shared" si="62"/>
        <v>0</v>
      </c>
      <c r="I349" s="1690">
        <f t="shared" si="61"/>
        <v>0</v>
      </c>
      <c r="J349" s="1690">
        <f t="shared" si="61"/>
        <v>0</v>
      </c>
      <c r="K349" s="1690">
        <f t="shared" si="61"/>
        <v>0</v>
      </c>
      <c r="L349" s="1690">
        <f t="shared" si="61"/>
        <v>0</v>
      </c>
      <c r="M349" s="1690">
        <f t="shared" si="61"/>
        <v>0</v>
      </c>
      <c r="N349" s="1690">
        <f t="shared" si="61"/>
        <v>0</v>
      </c>
      <c r="O349" s="1690">
        <f t="shared" si="61"/>
        <v>0</v>
      </c>
      <c r="P349" s="1690">
        <f t="shared" si="63"/>
        <v>0</v>
      </c>
      <c r="Q349" s="987"/>
      <c r="R349" s="987"/>
      <c r="S349" s="987"/>
      <c r="T349" s="1858">
        <f t="shared" si="57"/>
        <v>0</v>
      </c>
    </row>
    <row r="350" spans="1:21" ht="22.2" hidden="1" customHeight="1">
      <c r="A350" s="1444">
        <f>COUNTIF($C$12:C350,"x")</f>
        <v>19</v>
      </c>
      <c r="B350" s="1449" t="s">
        <v>495</v>
      </c>
      <c r="C350" s="60" t="str">
        <f t="shared" si="58"/>
        <v xml:space="preserve"> </v>
      </c>
      <c r="D350" s="1412"/>
      <c r="E350" s="980" t="str">
        <f>VLOOKUP($B350,DG!A:D,DG!$B$2,)</f>
        <v>02.1211</v>
      </c>
      <c r="F350" s="981" t="str">
        <f>VLOOKUP($B350,DG!A:D,DG!$C$2,)</f>
        <v>V/c xi măng ( cự ly &lt;=100m)</v>
      </c>
      <c r="G350" s="980" t="str">
        <f>VLOOKUP($B350,DG!A:D,DG!$D$2,)</f>
        <v>tấn</v>
      </c>
      <c r="H350" s="1690">
        <f t="shared" si="62"/>
        <v>0</v>
      </c>
      <c r="I350" s="1690">
        <f t="shared" si="61"/>
        <v>0</v>
      </c>
      <c r="J350" s="1690">
        <f t="shared" si="61"/>
        <v>0</v>
      </c>
      <c r="K350" s="1690">
        <f t="shared" si="61"/>
        <v>0</v>
      </c>
      <c r="L350" s="1690">
        <f t="shared" si="61"/>
        <v>0</v>
      </c>
      <c r="M350" s="1690">
        <f t="shared" si="61"/>
        <v>0</v>
      </c>
      <c r="N350" s="1690">
        <f t="shared" si="61"/>
        <v>0</v>
      </c>
      <c r="O350" s="1690">
        <f t="shared" si="61"/>
        <v>0</v>
      </c>
      <c r="P350" s="1690">
        <f t="shared" si="63"/>
        <v>0</v>
      </c>
      <c r="Q350" s="987"/>
      <c r="R350" s="987"/>
      <c r="S350" s="987"/>
      <c r="T350" s="1858">
        <f t="shared" si="57"/>
        <v>0</v>
      </c>
    </row>
    <row r="351" spans="1:21" ht="22.2" hidden="1" customHeight="1">
      <c r="A351" s="1444">
        <f>COUNTIF($C$12:C351,"x")</f>
        <v>19</v>
      </c>
      <c r="B351" s="1449" t="s">
        <v>1611</v>
      </c>
      <c r="C351" s="60" t="str">
        <f t="shared" si="58"/>
        <v xml:space="preserve"> </v>
      </c>
      <c r="D351" s="1412"/>
      <c r="E351" s="980" t="str">
        <f>VLOOKUP($B351,DG!A:D,DG!$B$2,)</f>
        <v>02.1231</v>
      </c>
      <c r="F351" s="981" t="str">
        <f>VLOOKUP($B351,DG!A:D,DG!$C$2,)</f>
        <v>V/c cát vàng cự ly &lt;=100m</v>
      </c>
      <c r="G351" s="980" t="str">
        <f>VLOOKUP($B351,DG!A:D,DG!$D$2,)</f>
        <v>m3</v>
      </c>
      <c r="H351" s="1690">
        <f t="shared" si="62"/>
        <v>0</v>
      </c>
      <c r="I351" s="1690">
        <f t="shared" si="61"/>
        <v>0</v>
      </c>
      <c r="J351" s="1690">
        <f t="shared" si="61"/>
        <v>0</v>
      </c>
      <c r="K351" s="1690">
        <f t="shared" si="61"/>
        <v>0</v>
      </c>
      <c r="L351" s="1690">
        <f t="shared" si="61"/>
        <v>0</v>
      </c>
      <c r="M351" s="1690">
        <f t="shared" si="61"/>
        <v>0</v>
      </c>
      <c r="N351" s="1690">
        <f t="shared" si="61"/>
        <v>0</v>
      </c>
      <c r="O351" s="1690">
        <f t="shared" si="61"/>
        <v>0</v>
      </c>
      <c r="P351" s="1690">
        <f t="shared" si="63"/>
        <v>0</v>
      </c>
      <c r="Q351" s="987"/>
      <c r="R351" s="987"/>
      <c r="S351" s="987"/>
      <c r="T351" s="1858">
        <f t="shared" si="57"/>
        <v>0</v>
      </c>
    </row>
    <row r="352" spans="1:21" ht="22.2" hidden="1" customHeight="1">
      <c r="A352" s="1444">
        <f>COUNTIF($C$12:C352,"x")</f>
        <v>19</v>
      </c>
      <c r="B352" s="1449" t="s">
        <v>521</v>
      </c>
      <c r="C352" s="60" t="str">
        <f t="shared" si="58"/>
        <v xml:space="preserve"> </v>
      </c>
      <c r="D352" s="1412"/>
      <c r="E352" s="980" t="str">
        <f>VLOOKUP($B352,DG!A:D,DG!$B$2,)</f>
        <v>02.1241</v>
      </c>
      <c r="F352" s="981" t="str">
        <f>VLOOKUP($B352,DG!A:D,DG!$C$2,)</f>
        <v>V/c đá dăm ( cự ly &lt;=100m)</v>
      </c>
      <c r="G352" s="980" t="str">
        <f>VLOOKUP($B352,DG!A:D,DG!$D$2,)</f>
        <v>m3</v>
      </c>
      <c r="H352" s="1690">
        <f t="shared" si="62"/>
        <v>0</v>
      </c>
      <c r="I352" s="1690">
        <f t="shared" si="61"/>
        <v>0</v>
      </c>
      <c r="J352" s="1690">
        <f t="shared" si="61"/>
        <v>0</v>
      </c>
      <c r="K352" s="1690">
        <f t="shared" si="61"/>
        <v>0</v>
      </c>
      <c r="L352" s="1690">
        <f t="shared" si="61"/>
        <v>0</v>
      </c>
      <c r="M352" s="1690">
        <f t="shared" si="61"/>
        <v>0</v>
      </c>
      <c r="N352" s="1690">
        <f t="shared" si="61"/>
        <v>0</v>
      </c>
      <c r="O352" s="1690">
        <f t="shared" si="61"/>
        <v>0</v>
      </c>
      <c r="P352" s="1690">
        <f t="shared" si="63"/>
        <v>0</v>
      </c>
      <c r="Q352" s="987"/>
      <c r="R352" s="987"/>
      <c r="S352" s="987"/>
      <c r="T352" s="1858">
        <f t="shared" si="57"/>
        <v>0</v>
      </c>
    </row>
    <row r="353" spans="1:21" ht="22.2" hidden="1" customHeight="1">
      <c r="A353" s="1444">
        <f>COUNTIF($C$12:C353,"x")</f>
        <v>19</v>
      </c>
      <c r="B353" s="1449" t="s">
        <v>1981</v>
      </c>
      <c r="C353" s="60" t="str">
        <f t="shared" si="58"/>
        <v xml:space="preserve"> </v>
      </c>
      <c r="D353" s="1412"/>
      <c r="E353" s="980" t="str">
        <f>VLOOKUP($B353,DG!A:D,DG!$B$2,)</f>
        <v>02.1482</v>
      </c>
      <c r="F353" s="981" t="str">
        <f>VLOOKUP($B353,DG!A:D,DG!$C$2,)</f>
        <v>V/c dụng cụ thi công ( cự ly &lt;=100m)</v>
      </c>
      <c r="G353" s="980" t="str">
        <f>VLOOKUP($B353,DG!A:D,DG!$D$2,)</f>
        <v>tấn</v>
      </c>
      <c r="H353" s="1690">
        <f t="shared" si="62"/>
        <v>0</v>
      </c>
      <c r="I353" s="1690">
        <f t="shared" si="61"/>
        <v>0</v>
      </c>
      <c r="J353" s="1690">
        <f t="shared" si="61"/>
        <v>0</v>
      </c>
      <c r="K353" s="1690">
        <f t="shared" si="61"/>
        <v>0</v>
      </c>
      <c r="L353" s="1690">
        <f t="shared" si="61"/>
        <v>0</v>
      </c>
      <c r="M353" s="1690">
        <f t="shared" si="61"/>
        <v>0</v>
      </c>
      <c r="N353" s="1690">
        <f t="shared" si="61"/>
        <v>0</v>
      </c>
      <c r="O353" s="1690">
        <f t="shared" si="61"/>
        <v>0</v>
      </c>
      <c r="P353" s="1690">
        <f t="shared" si="63"/>
        <v>0</v>
      </c>
      <c r="Q353" s="987"/>
      <c r="R353" s="987"/>
      <c r="S353" s="987"/>
      <c r="T353" s="1858">
        <f t="shared" si="57"/>
        <v>0</v>
      </c>
    </row>
    <row r="354" spans="1:21" ht="22.2" hidden="1" customHeight="1">
      <c r="A354" s="1444">
        <f>COUNTIF($C$12:C354,"x")</f>
        <v>19</v>
      </c>
      <c r="B354" s="1449" t="s">
        <v>997</v>
      </c>
      <c r="C354" s="60" t="str">
        <f t="shared" si="58"/>
        <v xml:space="preserve"> </v>
      </c>
      <c r="D354" s="1412">
        <f>D343*0</f>
        <v>0</v>
      </c>
      <c r="E354" s="980" t="str">
        <f>VLOOKUP($B354,DG!A:D,DG!$B$2,)</f>
        <v>04.5101</v>
      </c>
      <c r="F354" s="981" t="str">
        <f>VLOOKUP($B354,DG!A:D,DG!$C$2,)</f>
        <v>Gia công và lắp dựng cốt thép D&lt;=10</v>
      </c>
      <c r="G354" s="980" t="str">
        <f>VLOOKUP($B354,DG!A:D,DG!$D$2,)</f>
        <v>kg</v>
      </c>
      <c r="H354" s="1690">
        <f t="shared" si="62"/>
        <v>0</v>
      </c>
      <c r="I354" s="1690">
        <f t="shared" si="61"/>
        <v>0</v>
      </c>
      <c r="J354" s="1690">
        <f t="shared" si="61"/>
        <v>0</v>
      </c>
      <c r="K354" s="1690">
        <f t="shared" si="61"/>
        <v>0</v>
      </c>
      <c r="L354" s="1690">
        <f t="shared" si="61"/>
        <v>0</v>
      </c>
      <c r="M354" s="1690">
        <f t="shared" si="61"/>
        <v>0</v>
      </c>
      <c r="N354" s="1690">
        <f t="shared" si="61"/>
        <v>0</v>
      </c>
      <c r="O354" s="1690">
        <f t="shared" si="61"/>
        <v>0</v>
      </c>
      <c r="P354" s="1690">
        <f t="shared" si="63"/>
        <v>0</v>
      </c>
      <c r="Q354" s="987"/>
      <c r="R354" s="987"/>
      <c r="S354" s="987"/>
      <c r="T354" s="1858">
        <f t="shared" si="57"/>
        <v>0</v>
      </c>
    </row>
    <row r="355" spans="1:21" ht="22.2" hidden="1" customHeight="1">
      <c r="A355" s="1444">
        <f>COUNTIF($C$12:C355,"x")</f>
        <v>20</v>
      </c>
      <c r="B355" s="1449" t="s">
        <v>1835</v>
      </c>
      <c r="C355" s="60" t="str">
        <f t="shared" si="58"/>
        <v>x</v>
      </c>
      <c r="D355" s="1412">
        <v>1.19</v>
      </c>
      <c r="E355" s="980" t="str">
        <f>VLOOKUP($B355,DG!A:D,DG!$B$2,)</f>
        <v>04.1203b</v>
      </c>
      <c r="F355" s="981" t="str">
        <f>VLOOKUP($B355,DG!A:D,DG!$C$2,)</f>
        <v>Đổ bê tông mác M150 đá 1x2</v>
      </c>
      <c r="G355" s="980" t="str">
        <f>VLOOKUP($B355,DG!A:D,DG!$D$2,)</f>
        <v>m3</v>
      </c>
      <c r="H355" s="1690">
        <f t="shared" si="62"/>
        <v>1.19</v>
      </c>
      <c r="I355" s="1690">
        <f t="shared" si="61"/>
        <v>0</v>
      </c>
      <c r="J355" s="1690">
        <f t="shared" si="61"/>
        <v>0</v>
      </c>
      <c r="K355" s="1690">
        <f t="shared" si="61"/>
        <v>1.19</v>
      </c>
      <c r="L355" s="1690">
        <f t="shared" si="61"/>
        <v>0</v>
      </c>
      <c r="M355" s="1690">
        <f t="shared" si="61"/>
        <v>0</v>
      </c>
      <c r="N355" s="1690">
        <f t="shared" si="61"/>
        <v>0</v>
      </c>
      <c r="O355" s="1690">
        <f t="shared" si="61"/>
        <v>0</v>
      </c>
      <c r="P355" s="1690">
        <f t="shared" si="63"/>
        <v>1.19</v>
      </c>
      <c r="Q355" s="2667"/>
      <c r="R355" s="987"/>
      <c r="S355" s="987"/>
      <c r="T355" s="1858">
        <f t="shared" si="57"/>
        <v>0</v>
      </c>
      <c r="U355" s="2664">
        <f>D355</f>
        <v>1.19</v>
      </c>
    </row>
    <row r="356" spans="1:21" ht="22.2" customHeight="1">
      <c r="A356" s="1444">
        <f>COUNTIF($C$12:C356,"x")</f>
        <v>21</v>
      </c>
      <c r="B356" s="1448" t="s">
        <v>2306</v>
      </c>
      <c r="C356" s="969" t="str">
        <f t="shared" si="58"/>
        <v>x</v>
      </c>
      <c r="D356" s="1408"/>
      <c r="E356" s="977"/>
      <c r="F356" s="1272" t="s">
        <v>2364</v>
      </c>
      <c r="G356" s="978" t="s">
        <v>2327</v>
      </c>
      <c r="H356" s="1687">
        <f>SUM(I356:O356)</f>
        <v>2</v>
      </c>
      <c r="I356" s="1688"/>
      <c r="J356" s="1688"/>
      <c r="K356" s="1688">
        <f>IFERROR(HLOOKUP(B356,pp3p1m!$1:$3,2,0),0)</f>
        <v>2</v>
      </c>
      <c r="L356" s="1688">
        <f>IFERROR(HLOOKUP(chitiet!B356,pp1p!$1:$3,3,0),0)</f>
        <v>0</v>
      </c>
      <c r="M356" s="1688"/>
      <c r="N356" s="1688"/>
      <c r="O356" s="1688"/>
      <c r="P356" s="1687">
        <f>T356</f>
        <v>2</v>
      </c>
      <c r="Q356" s="1687">
        <f>IF(P356&gt;H356,P356-H356,0)</f>
        <v>0</v>
      </c>
      <c r="R356" s="1687">
        <f>IF(H356&gt;P356,H356-P356,0)</f>
        <v>0</v>
      </c>
      <c r="S356" s="979"/>
      <c r="T356" s="1858">
        <f>IFERROR(HLOOKUP(B356,pp1p!$1:$3,3,0),0)+IFERROR(HLOOKUP(B356,pp3p1m!$1:$3,3,0),0)</f>
        <v>2</v>
      </c>
    </row>
    <row r="357" spans="1:21" ht="22.2" hidden="1" customHeight="1">
      <c r="A357" s="1444">
        <f>COUNTIF($C$12:C357,"x")</f>
        <v>22</v>
      </c>
      <c r="B357" s="1450" t="s">
        <v>751</v>
      </c>
      <c r="C357" s="969" t="str">
        <f t="shared" si="58"/>
        <v>x</v>
      </c>
      <c r="D357" s="1415">
        <v>323.63</v>
      </c>
      <c r="E357" s="980">
        <f>VLOOKUP($B357,DG!A:D,DG!$B$2,)</f>
        <v>0</v>
      </c>
      <c r="F357" s="986" t="str">
        <f>VLOOKUP($B357,DG!A:D,DG!$C$2,)</f>
        <v>Ximăng (PC40)</v>
      </c>
      <c r="G357" s="980" t="str">
        <f>VLOOKUP($B357,DG!A:D,DG!$D$2,)</f>
        <v>kg</v>
      </c>
      <c r="H357" s="1690">
        <f t="shared" ref="H357:H375" si="64">$H$356*$D357</f>
        <v>647.26</v>
      </c>
      <c r="I357" s="1690">
        <f>I$511*$D357</f>
        <v>0</v>
      </c>
      <c r="J357" s="1690">
        <f>J$511*$D357</f>
        <v>0</v>
      </c>
      <c r="K357" s="1690">
        <f t="shared" ref="K357:K364" si="65">K$356*$D357</f>
        <v>647.26</v>
      </c>
      <c r="L357" s="1690">
        <f>L$511*$D357</f>
        <v>0</v>
      </c>
      <c r="M357" s="1690">
        <f>M$511*$D357</f>
        <v>0</v>
      </c>
      <c r="N357" s="1690">
        <f>N$511*$D357</f>
        <v>0</v>
      </c>
      <c r="O357" s="1690"/>
      <c r="P357" s="1690">
        <f t="shared" ref="P357:P375" si="66">$P$356*D357</f>
        <v>647.26</v>
      </c>
      <c r="Q357" s="1690">
        <f>$Q$356*D357</f>
        <v>0</v>
      </c>
      <c r="R357" s="984"/>
      <c r="S357" s="984"/>
      <c r="T357" s="1858">
        <f t="shared" si="57"/>
        <v>0</v>
      </c>
      <c r="U357" s="1415">
        <v>504</v>
      </c>
    </row>
    <row r="358" spans="1:21" ht="22.2" hidden="1" customHeight="1">
      <c r="A358" s="1444">
        <f>COUNTIF($C$12:C358,"x")</f>
        <v>23</v>
      </c>
      <c r="B358" s="1450" t="s">
        <v>4406</v>
      </c>
      <c r="C358" s="969" t="str">
        <f t="shared" si="58"/>
        <v>x</v>
      </c>
      <c r="D358" s="1412">
        <v>0.75900000000000001</v>
      </c>
      <c r="E358" s="980">
        <f>VLOOKUP($B358,DG!A:D,DG!$B$2,)</f>
        <v>0</v>
      </c>
      <c r="F358" s="986" t="str">
        <f>VLOOKUP($B358,DG!A:D,DG!$C$2,)</f>
        <v>Cát vàng</v>
      </c>
      <c r="G358" s="980" t="str">
        <f>VLOOKUP($B358,DG!A:D,DG!$D$2,)</f>
        <v>m3</v>
      </c>
      <c r="H358" s="1690">
        <f t="shared" si="64"/>
        <v>1.518</v>
      </c>
      <c r="I358" s="1690"/>
      <c r="J358" s="1690"/>
      <c r="K358" s="1690">
        <f t="shared" si="65"/>
        <v>1.518</v>
      </c>
      <c r="L358" s="1690"/>
      <c r="M358" s="1690"/>
      <c r="N358" s="1690"/>
      <c r="O358" s="1690"/>
      <c r="P358" s="1690">
        <f t="shared" si="66"/>
        <v>1.518</v>
      </c>
      <c r="Q358" s="1690">
        <f>$Q$356*D358</f>
        <v>0</v>
      </c>
      <c r="R358" s="983"/>
      <c r="S358" s="983"/>
      <c r="T358" s="1858">
        <f t="shared" si="57"/>
        <v>0</v>
      </c>
      <c r="U358" s="1412">
        <v>0.80900000000000005</v>
      </c>
    </row>
    <row r="359" spans="1:21" ht="22.2" hidden="1" customHeight="1">
      <c r="A359" s="1444">
        <f>COUNTIF($C$12:C359,"x")</f>
        <v>24</v>
      </c>
      <c r="B359" s="1450" t="s">
        <v>867</v>
      </c>
      <c r="C359" s="969" t="str">
        <f t="shared" si="58"/>
        <v>x</v>
      </c>
      <c r="D359" s="1412">
        <v>1.252</v>
      </c>
      <c r="E359" s="980">
        <f>VLOOKUP($B359,DG!A:D,DG!$B$2,)</f>
        <v>0</v>
      </c>
      <c r="F359" s="986" t="str">
        <f>VLOOKUP($B359,DG!A:D,DG!$C$2,)</f>
        <v>Đá 1x2</v>
      </c>
      <c r="G359" s="980" t="str">
        <f>VLOOKUP($B359,DG!A:D,DG!$D$2,)</f>
        <v>m3</v>
      </c>
      <c r="H359" s="1690">
        <f t="shared" si="64"/>
        <v>2.504</v>
      </c>
      <c r="I359" s="1690"/>
      <c r="J359" s="1690"/>
      <c r="K359" s="1690">
        <f t="shared" si="65"/>
        <v>2.504</v>
      </c>
      <c r="L359" s="1690"/>
      <c r="M359" s="1690"/>
      <c r="N359" s="1690"/>
      <c r="O359" s="1690"/>
      <c r="P359" s="1690">
        <f t="shared" si="66"/>
        <v>2.504</v>
      </c>
      <c r="Q359" s="1690">
        <f>$Q$356*D359</f>
        <v>0</v>
      </c>
      <c r="R359" s="983"/>
      <c r="S359" s="983"/>
      <c r="T359" s="1858">
        <f t="shared" si="57"/>
        <v>0</v>
      </c>
      <c r="U359" s="1412">
        <v>1.5009999999999999</v>
      </c>
    </row>
    <row r="360" spans="1:21" ht="22.2" hidden="1" customHeight="1">
      <c r="A360" s="1444">
        <f>COUNTIF($C$12:C360,"x")</f>
        <v>24</v>
      </c>
      <c r="B360" s="1449" t="s">
        <v>4919</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5"/>
        <v>0</v>
      </c>
      <c r="L360" s="1690"/>
      <c r="M360" s="1690"/>
      <c r="N360" s="1690"/>
      <c r="O360" s="1690"/>
      <c r="P360" s="1690"/>
      <c r="Q360" s="1690"/>
      <c r="R360" s="983"/>
      <c r="S360" s="983"/>
      <c r="T360" s="1858">
        <f>IFERROR(HLOOKUP(B360,BangKeTru,3,0),0)</f>
        <v>0</v>
      </c>
      <c r="U360" s="1416">
        <v>0.75</v>
      </c>
    </row>
    <row r="361" spans="1:21" ht="22.2" hidden="1" customHeight="1">
      <c r="A361" s="1444">
        <f>COUNTIF($C$12:C361,"x")</f>
        <v>24</v>
      </c>
      <c r="B361" s="1449" t="s">
        <v>996</v>
      </c>
      <c r="C361" s="60" t="str">
        <f>IF(OR(P361&lt;&gt;0,H361&lt;&gt;0),"x"," ")</f>
        <v xml:space="preserve"> </v>
      </c>
      <c r="D361" s="1416"/>
      <c r="E361" s="980">
        <f>VLOOKUP($B361,DG!A:D,DG!$B$2,)</f>
        <v>0</v>
      </c>
      <c r="F361" s="981" t="str">
        <f>VLOOKUP($B361,DG!A:D,DG!$C$2,)</f>
        <v>Kẽm</v>
      </c>
      <c r="G361" s="980" t="str">
        <f>VLOOKUP($B361,DG!A:D,DG!$D$2,)</f>
        <v>kg</v>
      </c>
      <c r="H361" s="1690">
        <f t="shared" si="64"/>
        <v>0</v>
      </c>
      <c r="I361" s="1690"/>
      <c r="J361" s="1690"/>
      <c r="K361" s="1690">
        <f t="shared" si="65"/>
        <v>0</v>
      </c>
      <c r="L361" s="1690"/>
      <c r="M361" s="1690"/>
      <c r="N361" s="1690"/>
      <c r="O361" s="1690"/>
      <c r="P361" s="1690">
        <f>$P$356*D361</f>
        <v>0</v>
      </c>
      <c r="Q361" s="1690"/>
      <c r="R361" s="983"/>
      <c r="S361" s="983"/>
      <c r="T361" s="1858">
        <f>IFERROR(HLOOKUP(B361,BangKeTru,3,0),0)</f>
        <v>0</v>
      </c>
      <c r="U361" s="1416"/>
    </row>
    <row r="362" spans="1:21" ht="22.2" hidden="1" customHeight="1">
      <c r="A362" s="1444">
        <f>COUNTIF($C$12:C362,"x")</f>
        <v>24</v>
      </c>
      <c r="B362" s="1449" t="s">
        <v>4629</v>
      </c>
      <c r="C362" s="60" t="str">
        <f t="shared" si="58"/>
        <v xml:space="preserve"> </v>
      </c>
      <c r="D362" s="1416"/>
      <c r="E362" s="980">
        <f>VLOOKUP($B362,DG!A:D,DG!$B$2,)</f>
        <v>0</v>
      </c>
      <c r="F362" s="981" t="str">
        <f>VLOOKUP($B362,DG!A:D,DG!$C$2,)</f>
        <v>Gỗ chống</v>
      </c>
      <c r="G362" s="980" t="str">
        <f>VLOOKUP($B362,DG!A:D,DG!$D$2,)</f>
        <v>m3</v>
      </c>
      <c r="H362" s="1690"/>
      <c r="I362" s="1690"/>
      <c r="J362" s="1690"/>
      <c r="K362" s="1690">
        <f t="shared" si="65"/>
        <v>0</v>
      </c>
      <c r="L362" s="1690"/>
      <c r="M362" s="1690"/>
      <c r="N362" s="1690"/>
      <c r="O362" s="1690"/>
      <c r="P362" s="1690"/>
      <c r="Q362" s="1690"/>
      <c r="R362" s="983"/>
      <c r="S362" s="983"/>
      <c r="T362" s="1858">
        <f t="shared" si="57"/>
        <v>0</v>
      </c>
      <c r="U362" s="1416">
        <v>1.6800000000000001E-3</v>
      </c>
    </row>
    <row r="363" spans="1:21" ht="22.2" hidden="1" customHeight="1">
      <c r="A363" s="1444">
        <f>COUNTIF($C$12:C363,"x")</f>
        <v>24</v>
      </c>
      <c r="B363" s="1449" t="s">
        <v>4631</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5"/>
        <v>0</v>
      </c>
      <c r="L363" s="1690"/>
      <c r="M363" s="1690"/>
      <c r="N363" s="1690"/>
      <c r="O363" s="1690"/>
      <c r="P363" s="1690"/>
      <c r="Q363" s="1690"/>
      <c r="R363" s="983"/>
      <c r="S363" s="983"/>
      <c r="T363" s="1858">
        <f>IFERROR(HLOOKUP(B363,BangKeTru,3,0),0)</f>
        <v>0</v>
      </c>
      <c r="U363" s="1416">
        <v>1.0500000000000001E-2</v>
      </c>
    </row>
    <row r="364" spans="1:21" ht="22.2" hidden="1" customHeight="1">
      <c r="A364" s="1444">
        <f>COUNTIF($C$12:C364,"x")</f>
        <v>24</v>
      </c>
      <c r="B364" s="1449" t="s">
        <v>4633</v>
      </c>
      <c r="C364" s="60" t="str">
        <f t="shared" si="58"/>
        <v xml:space="preserve"> </v>
      </c>
      <c r="D364" s="1416"/>
      <c r="E364" s="980">
        <f>VLOOKUP($B364,DG!A:D,DG!$B$2,)</f>
        <v>0</v>
      </c>
      <c r="F364" s="981" t="str">
        <f>VLOOKUP($B364,DG!A:D,DG!$C$2,)</f>
        <v>Gỗ ván (cả nẹp)</v>
      </c>
      <c r="G364" s="980" t="str">
        <f>VLOOKUP($B364,DG!A:D,DG!$D$2,)</f>
        <v>m3</v>
      </c>
      <c r="H364" s="1690"/>
      <c r="I364" s="1690"/>
      <c r="J364" s="1690"/>
      <c r="K364" s="1690">
        <f t="shared" si="65"/>
        <v>0</v>
      </c>
      <c r="L364" s="1690"/>
      <c r="M364" s="1690"/>
      <c r="N364" s="1690"/>
      <c r="O364" s="1690"/>
      <c r="P364" s="1690"/>
      <c r="Q364" s="1690"/>
      <c r="R364" s="983"/>
      <c r="S364" s="983"/>
      <c r="T364" s="1858">
        <f t="shared" si="57"/>
        <v>0</v>
      </c>
      <c r="U364" s="1416">
        <v>3.9600000000000003E-2</v>
      </c>
    </row>
    <row r="365" spans="1:21" ht="22.2" hidden="1" customHeight="1">
      <c r="A365" s="1444">
        <f>COUNTIF($C$12:C365,"x")</f>
        <v>24</v>
      </c>
      <c r="B365" s="1447" t="s">
        <v>4639</v>
      </c>
      <c r="C365" s="969" t="str">
        <f t="shared" si="58"/>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7"/>
        <v>0</v>
      </c>
      <c r="U365" s="1416">
        <v>1.93</v>
      </c>
    </row>
    <row r="366" spans="1:21" ht="22.2" hidden="1" customHeight="1">
      <c r="A366" s="1444">
        <f>COUNTIF($C$12:C366,"x")</f>
        <v>24</v>
      </c>
      <c r="B366" s="1449" t="s">
        <v>4820</v>
      </c>
      <c r="C366" s="60" t="str">
        <f t="shared" si="58"/>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7"/>
        <v>0</v>
      </c>
      <c r="U366" s="1412">
        <v>1</v>
      </c>
    </row>
    <row r="367" spans="1:21" ht="22.2" hidden="1" customHeight="1">
      <c r="A367" s="1444">
        <f>COUNTIF($C$12:C367,"x")</f>
        <v>25</v>
      </c>
      <c r="B367" s="1449" t="s">
        <v>6094</v>
      </c>
      <c r="C367" s="60" t="str">
        <f t="shared" si="58"/>
        <v>x</v>
      </c>
      <c r="D367" s="1412">
        <v>1</v>
      </c>
      <c r="E367" s="980">
        <f>VLOOKUP($B367,DG!A:D,DG!$B$2,)</f>
        <v>0</v>
      </c>
      <c r="F367" s="986" t="str">
        <f>VLOOKUP($B367,DG!A:D,DG!$C$2,)</f>
        <v>Boulon 16x650VRS+ 4 long đền vuông D18-50x50x3/Zn</v>
      </c>
      <c r="G367" s="980" t="str">
        <f>VLOOKUP($B367,DG!A:D,DG!$D$2,)</f>
        <v>bộ</v>
      </c>
      <c r="H367" s="1690">
        <f t="shared" si="64"/>
        <v>2</v>
      </c>
      <c r="I367" s="1690"/>
      <c r="J367" s="1690"/>
      <c r="K367" s="1690"/>
      <c r="L367" s="1690"/>
      <c r="M367" s="1690"/>
      <c r="N367" s="1690"/>
      <c r="O367" s="1690"/>
      <c r="P367" s="1690">
        <f t="shared" si="66"/>
        <v>2</v>
      </c>
      <c r="Q367" s="1690">
        <f t="shared" ref="Q367:Q370" si="67">$Q$356*D367</f>
        <v>0</v>
      </c>
      <c r="R367" s="987"/>
      <c r="S367" s="987"/>
      <c r="T367" s="1858">
        <f t="shared" si="57"/>
        <v>0</v>
      </c>
      <c r="U367" s="1412">
        <v>1</v>
      </c>
    </row>
    <row r="368" spans="1:21" ht="22.2" hidden="1" customHeight="1">
      <c r="A368" s="1444">
        <f>COUNTIF($C$12:C368,"x")</f>
        <v>26</v>
      </c>
      <c r="B368" s="1449" t="s">
        <v>4833</v>
      </c>
      <c r="C368" s="60" t="str">
        <f t="shared" si="58"/>
        <v>x</v>
      </c>
      <c r="D368" s="1412">
        <v>1</v>
      </c>
      <c r="E368" s="980">
        <f>VLOOKUP($B368,DG!A:D,DG!$B$2,)</f>
        <v>0</v>
      </c>
      <c r="F368" s="986" t="str">
        <f>VLOOKUP($B368,DG!A:D,DG!$C$2,)</f>
        <v>Boulon 16x750VRS+ 4 long đền vuông D18-50x50x3/Zn</v>
      </c>
      <c r="G368" s="980" t="str">
        <f>VLOOKUP($B368,DG!A:D,DG!$D$2,)</f>
        <v>bộ</v>
      </c>
      <c r="H368" s="1690">
        <f t="shared" si="64"/>
        <v>2</v>
      </c>
      <c r="I368" s="1690"/>
      <c r="J368" s="1690"/>
      <c r="K368" s="1690"/>
      <c r="L368" s="1690"/>
      <c r="M368" s="1690"/>
      <c r="N368" s="1690"/>
      <c r="O368" s="1690"/>
      <c r="P368" s="1690">
        <f t="shared" si="66"/>
        <v>2</v>
      </c>
      <c r="Q368" s="1690">
        <f t="shared" si="67"/>
        <v>0</v>
      </c>
      <c r="R368" s="987"/>
      <c r="S368" s="987"/>
      <c r="T368" s="1858">
        <f t="shared" si="57"/>
        <v>0</v>
      </c>
      <c r="U368" s="1412">
        <v>1</v>
      </c>
    </row>
    <row r="369" spans="1:21" ht="22.2" hidden="1" customHeight="1">
      <c r="A369" s="1444">
        <f>COUNTIF($C$12:C369,"x")</f>
        <v>27</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4"/>
        <v>3.6680000000000001</v>
      </c>
      <c r="I369" s="1690"/>
      <c r="J369" s="1690"/>
      <c r="K369" s="1690"/>
      <c r="L369" s="1690"/>
      <c r="M369" s="1690"/>
      <c r="N369" s="1690"/>
      <c r="O369" s="1690"/>
      <c r="P369" s="1690">
        <f t="shared" ref="P369" si="68">$P$356*D369</f>
        <v>3.6680000000000001</v>
      </c>
      <c r="Q369" s="1690"/>
      <c r="R369" s="987"/>
      <c r="S369" s="987"/>
      <c r="T369" s="1858">
        <f>IFERROR(HLOOKUP(B369,BangKeTru,3,0),0)</f>
        <v>0</v>
      </c>
      <c r="U369" s="1412">
        <v>0.157</v>
      </c>
    </row>
    <row r="370" spans="1:21" ht="22.2" hidden="1" customHeight="1">
      <c r="A370" s="1444">
        <f>COUNTIF($C$12:C370,"x")</f>
        <v>28</v>
      </c>
      <c r="B370" s="1449" t="s">
        <v>639</v>
      </c>
      <c r="C370" s="60" t="str">
        <f t="shared" si="58"/>
        <v>x</v>
      </c>
      <c r="D370" s="1412">
        <v>0.157</v>
      </c>
      <c r="E370" s="980" t="str">
        <f>VLOOKUP($B370,DG!A:D,DG!$B$2,)</f>
        <v>03.1013</v>
      </c>
      <c r="F370" s="981" t="str">
        <f>VLOOKUP($B370,DG!A:D,DG!$C$2,)</f>
        <v>Đào hố móng đất cấp 3 sâu &gt;1m</v>
      </c>
      <c r="G370" s="980" t="str">
        <f>VLOOKUP($B370,DG!A:D,DG!$D$2,)</f>
        <v>m3</v>
      </c>
      <c r="H370" s="1690">
        <f t="shared" si="64"/>
        <v>0.314</v>
      </c>
      <c r="I370" s="1690"/>
      <c r="J370" s="1690"/>
      <c r="K370" s="1690"/>
      <c r="L370" s="1690"/>
      <c r="M370" s="1690"/>
      <c r="N370" s="1690"/>
      <c r="O370" s="1690"/>
      <c r="P370" s="1690">
        <f t="shared" si="66"/>
        <v>0.314</v>
      </c>
      <c r="Q370" s="1690">
        <f t="shared" si="67"/>
        <v>0</v>
      </c>
      <c r="R370" s="987"/>
      <c r="S370" s="987"/>
      <c r="T370" s="1858">
        <f t="shared" si="57"/>
        <v>0</v>
      </c>
      <c r="U370" s="1412">
        <v>1.93</v>
      </c>
    </row>
    <row r="371" spans="1:21" ht="22.2" hidden="1" customHeight="1">
      <c r="A371" s="1444">
        <f>COUNTIF($C$12:C371,"x")</f>
        <v>28</v>
      </c>
      <c r="B371" s="1449" t="s">
        <v>1611</v>
      </c>
      <c r="C371" s="60" t="str">
        <f t="shared" si="58"/>
        <v xml:space="preserve"> </v>
      </c>
      <c r="D371" s="1412"/>
      <c r="E371" s="980" t="str">
        <f>VLOOKUP($B371,DG!A:D,DG!$B$2,)</f>
        <v>02.1231</v>
      </c>
      <c r="F371" s="981" t="str">
        <f>VLOOKUP($B371,DG!A:D,DG!$C$2,)</f>
        <v>V/c cát vàng cự ly &lt;=100m</v>
      </c>
      <c r="G371" s="980" t="str">
        <f>VLOOKUP($B371,DG!A:D,DG!$D$2,)</f>
        <v>m3</v>
      </c>
      <c r="H371" s="1690">
        <f t="shared" si="64"/>
        <v>0</v>
      </c>
      <c r="I371" s="1690"/>
      <c r="J371" s="1690"/>
      <c r="K371" s="1690"/>
      <c r="L371" s="1690"/>
      <c r="M371" s="1690"/>
      <c r="N371" s="1690"/>
      <c r="O371" s="1690"/>
      <c r="P371" s="1690">
        <f t="shared" si="66"/>
        <v>0</v>
      </c>
      <c r="Q371" s="1690"/>
      <c r="R371" s="987"/>
      <c r="S371" s="987"/>
      <c r="T371" s="1858">
        <f t="shared" si="57"/>
        <v>0</v>
      </c>
      <c r="U371" s="1412"/>
    </row>
    <row r="372" spans="1:21" ht="22.2" hidden="1" customHeight="1">
      <c r="A372" s="1444">
        <f>COUNTIF($C$12:C372,"x")</f>
        <v>28</v>
      </c>
      <c r="B372" s="1449" t="s">
        <v>521</v>
      </c>
      <c r="C372" s="60" t="str">
        <f t="shared" si="58"/>
        <v xml:space="preserve"> </v>
      </c>
      <c r="D372" s="1412"/>
      <c r="E372" s="980" t="str">
        <f>VLOOKUP($B372,DG!A:D,DG!$B$2,)</f>
        <v>02.1241</v>
      </c>
      <c r="F372" s="981" t="str">
        <f>VLOOKUP($B372,DG!A:D,DG!$C$2,)</f>
        <v>V/c đá dăm ( cự ly &lt;=100m)</v>
      </c>
      <c r="G372" s="980" t="str">
        <f>VLOOKUP($B372,DG!A:D,DG!$D$2,)</f>
        <v>m3</v>
      </c>
      <c r="H372" s="1690">
        <f t="shared" si="64"/>
        <v>0</v>
      </c>
      <c r="I372" s="1690"/>
      <c r="J372" s="1690"/>
      <c r="K372" s="1690"/>
      <c r="L372" s="1690"/>
      <c r="M372" s="1690"/>
      <c r="N372" s="1690"/>
      <c r="O372" s="1690"/>
      <c r="P372" s="1690">
        <f t="shared" si="66"/>
        <v>0</v>
      </c>
      <c r="Q372" s="1690"/>
      <c r="R372" s="987"/>
      <c r="S372" s="987"/>
      <c r="T372" s="1858">
        <f t="shared" si="57"/>
        <v>0</v>
      </c>
      <c r="U372" s="1412"/>
    </row>
    <row r="373" spans="1:21" ht="22.2" hidden="1" customHeight="1">
      <c r="A373" s="1444">
        <f>COUNTIF($C$12:C373,"x")</f>
        <v>28</v>
      </c>
      <c r="B373" s="1449" t="s">
        <v>1981</v>
      </c>
      <c r="C373" s="60" t="str">
        <f t="shared" si="58"/>
        <v xml:space="preserve"> </v>
      </c>
      <c r="D373" s="1412"/>
      <c r="E373" s="980" t="str">
        <f>VLOOKUP($B373,DG!A:D,DG!$B$2,)</f>
        <v>02.1482</v>
      </c>
      <c r="F373" s="981" t="str">
        <f>VLOOKUP($B373,DG!A:D,DG!$C$2,)</f>
        <v>V/c dụng cụ thi công ( cự ly &lt;=100m)</v>
      </c>
      <c r="G373" s="980" t="str">
        <f>VLOOKUP($B373,DG!A:D,DG!$D$2,)</f>
        <v>tấn</v>
      </c>
      <c r="H373" s="1690">
        <f t="shared" si="64"/>
        <v>0</v>
      </c>
      <c r="I373" s="1690"/>
      <c r="J373" s="1690"/>
      <c r="K373" s="1690"/>
      <c r="L373" s="1690"/>
      <c r="M373" s="1690"/>
      <c r="N373" s="1690"/>
      <c r="O373" s="1690"/>
      <c r="P373" s="1690">
        <f t="shared" si="66"/>
        <v>0</v>
      </c>
      <c r="Q373" s="1690"/>
      <c r="R373" s="987"/>
      <c r="S373" s="987"/>
      <c r="T373" s="1858">
        <f t="shared" si="57"/>
        <v>0</v>
      </c>
      <c r="U373" s="1412"/>
    </row>
    <row r="374" spans="1:21" ht="22.2" hidden="1" customHeight="1">
      <c r="A374" s="1444">
        <f>COUNTIF($C$12:C374,"x")</f>
        <v>28</v>
      </c>
      <c r="B374" s="1449" t="s">
        <v>997</v>
      </c>
      <c r="C374" s="60" t="str">
        <f t="shared" si="58"/>
        <v xml:space="preserve"> </v>
      </c>
      <c r="D374" s="1412"/>
      <c r="E374" s="980" t="str">
        <f>VLOOKUP($B374,DG!A:D,DG!$B$2,)</f>
        <v>04.5101</v>
      </c>
      <c r="F374" s="981" t="str">
        <f>VLOOKUP($B374,DG!A:D,DG!$C$2,)</f>
        <v>Gia công và lắp dựng cốt thép D&lt;=10</v>
      </c>
      <c r="G374" s="980" t="str">
        <f>VLOOKUP($B374,DG!A:D,DG!$D$2,)</f>
        <v>kg</v>
      </c>
      <c r="H374" s="1690">
        <f t="shared" si="64"/>
        <v>0</v>
      </c>
      <c r="I374" s="1690"/>
      <c r="J374" s="1690"/>
      <c r="K374" s="1690"/>
      <c r="L374" s="1690"/>
      <c r="M374" s="1690"/>
      <c r="N374" s="1690"/>
      <c r="O374" s="1690"/>
      <c r="P374" s="1690">
        <f t="shared" si="66"/>
        <v>0</v>
      </c>
      <c r="Q374" s="1690"/>
      <c r="R374" s="987"/>
      <c r="S374" s="987"/>
      <c r="T374" s="1858">
        <f t="shared" si="57"/>
        <v>0</v>
      </c>
      <c r="U374" s="1412"/>
    </row>
    <row r="375" spans="1:21" ht="22.2" hidden="1" customHeight="1">
      <c r="A375" s="1444">
        <f>COUNTIF($C$12:C375,"x")</f>
        <v>29</v>
      </c>
      <c r="B375" s="1449" t="s">
        <v>1835</v>
      </c>
      <c r="C375" s="60" t="str">
        <f t="shared" si="58"/>
        <v>x</v>
      </c>
      <c r="D375" s="1412">
        <v>1.704</v>
      </c>
      <c r="E375" s="980" t="str">
        <f>VLOOKUP($B375,DG!A:D,DG!$B$2,)</f>
        <v>04.1203b</v>
      </c>
      <c r="F375" s="981" t="str">
        <f>VLOOKUP($B375,DG!A:D,DG!$C$2,)</f>
        <v>Đổ bê tông mác M150 đá 1x2</v>
      </c>
      <c r="G375" s="980" t="str">
        <f>VLOOKUP($B375,DG!A:D,DG!$D$2,)</f>
        <v>m3</v>
      </c>
      <c r="H375" s="1690">
        <f t="shared" si="64"/>
        <v>3.4079999999999999</v>
      </c>
      <c r="I375" s="1690"/>
      <c r="J375" s="1690"/>
      <c r="K375" s="1690"/>
      <c r="L375" s="1690"/>
      <c r="M375" s="1690"/>
      <c r="N375" s="1690"/>
      <c r="O375" s="1690"/>
      <c r="P375" s="1690">
        <f t="shared" si="66"/>
        <v>3.4079999999999999</v>
      </c>
      <c r="Q375" s="1690">
        <f>$Q$356*D375</f>
        <v>0</v>
      </c>
      <c r="R375" s="987"/>
      <c r="S375" s="987"/>
      <c r="T375" s="1858">
        <f t="shared" si="57"/>
        <v>0</v>
      </c>
      <c r="U375" s="1412">
        <v>1.704</v>
      </c>
    </row>
    <row r="376" spans="1:21" ht="22.2" hidden="1" customHeight="1">
      <c r="A376" s="1444">
        <f>COUNTIF($C$12:C376,"x")</f>
        <v>29</v>
      </c>
      <c r="B376" s="1448" t="s">
        <v>744</v>
      </c>
      <c r="C376" s="59" t="str">
        <f t="shared" si="58"/>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2" hidden="1" customHeight="1">
      <c r="A377" s="1444">
        <f>COUNTIF($C$12:C377,"x")</f>
        <v>29</v>
      </c>
      <c r="B377" s="1449" t="s">
        <v>751</v>
      </c>
      <c r="C377" s="60" t="str">
        <f t="shared" si="58"/>
        <v xml:space="preserve"> </v>
      </c>
      <c r="D377" s="1415">
        <v>838</v>
      </c>
      <c r="E377" s="980">
        <f>VLOOKUP($B377,DG!A:D,DG!$B$2,)</f>
        <v>0</v>
      </c>
      <c r="F377" s="981" t="str">
        <f>VLOOKUP($B377,DG!A:D,DG!$C$2,)</f>
        <v>Ximăng (PC40)</v>
      </c>
      <c r="G377" s="980" t="str">
        <f>VLOOKUP($B377,DG!A:D,DG!$D$2,)</f>
        <v>kg</v>
      </c>
      <c r="H377" s="1690">
        <f t="shared" ref="H377:H395" si="69">H$356*$H$376</f>
        <v>0</v>
      </c>
      <c r="I377" s="1690">
        <f>I$511*$D377</f>
        <v>0</v>
      </c>
      <c r="J377" s="1690">
        <f>J$511*$D377</f>
        <v>0</v>
      </c>
      <c r="K377" s="1690">
        <f t="shared" ref="K377:K387" si="70">K$356*$D377</f>
        <v>1676</v>
      </c>
      <c r="L377" s="1690">
        <f>L$511*$D377</f>
        <v>0</v>
      </c>
      <c r="M377" s="1690">
        <f>M$511*$D377</f>
        <v>0</v>
      </c>
      <c r="N377" s="1690">
        <f>N$511*$D377</f>
        <v>0</v>
      </c>
      <c r="O377" s="1690"/>
      <c r="P377" s="1690"/>
      <c r="Q377" s="984"/>
      <c r="R377" s="984"/>
      <c r="S377" s="984"/>
      <c r="T377" s="1858">
        <f t="shared" si="57"/>
        <v>0</v>
      </c>
    </row>
    <row r="378" spans="1:21" ht="22.2" hidden="1" customHeight="1">
      <c r="A378" s="1444">
        <f>COUNTIF($C$12:C378,"x")</f>
        <v>29</v>
      </c>
      <c r="B378" s="1450" t="s">
        <v>4412</v>
      </c>
      <c r="C378" s="60" t="str">
        <f t="shared" si="58"/>
        <v xml:space="preserve"> </v>
      </c>
      <c r="D378" s="1412">
        <v>0.80100000000000005</v>
      </c>
      <c r="E378" s="980">
        <f>VLOOKUP($B378,DG!A:D,DG!$B$2,)</f>
        <v>0</v>
      </c>
      <c r="F378" s="981" t="str">
        <f>VLOOKUP($B378,DG!A:D,DG!$C$2,)</f>
        <v>Cát vàng</v>
      </c>
      <c r="G378" s="980" t="str">
        <f>VLOOKUP($B378,DG!A:D,DG!$D$2,)</f>
        <v>m3</v>
      </c>
      <c r="H378" s="1690">
        <f t="shared" si="69"/>
        <v>0</v>
      </c>
      <c r="I378" s="1690"/>
      <c r="J378" s="1690"/>
      <c r="K378" s="1690">
        <f t="shared" si="70"/>
        <v>1.6020000000000001</v>
      </c>
      <c r="L378" s="1690"/>
      <c r="M378" s="1690"/>
      <c r="N378" s="1690"/>
      <c r="O378" s="1690"/>
      <c r="P378" s="1690"/>
      <c r="Q378" s="983"/>
      <c r="R378" s="983"/>
      <c r="S378" s="983"/>
      <c r="T378" s="1858">
        <f t="shared" si="57"/>
        <v>0</v>
      </c>
    </row>
    <row r="379" spans="1:21" ht="22.2" hidden="1" customHeight="1">
      <c r="A379" s="1444">
        <f>COUNTIF($C$12:C379,"x")</f>
        <v>29</v>
      </c>
      <c r="B379" s="1449" t="s">
        <v>867</v>
      </c>
      <c r="C379" s="60" t="str">
        <f t="shared" si="58"/>
        <v xml:space="preserve"> </v>
      </c>
      <c r="D379" s="1412">
        <v>1.6559999999999999</v>
      </c>
      <c r="E379" s="980">
        <f>VLOOKUP($B379,DG!A:D,DG!$B$2,)</f>
        <v>0</v>
      </c>
      <c r="F379" s="981" t="str">
        <f>VLOOKUP($B379,DG!A:D,DG!$C$2,)</f>
        <v>Đá 1x2</v>
      </c>
      <c r="G379" s="980" t="str">
        <f>VLOOKUP($B379,DG!A:D,DG!$D$2,)</f>
        <v>m3</v>
      </c>
      <c r="H379" s="1690">
        <f t="shared" si="69"/>
        <v>0</v>
      </c>
      <c r="I379" s="1690"/>
      <c r="J379" s="1690"/>
      <c r="K379" s="1690">
        <f t="shared" si="70"/>
        <v>3.3119999999999998</v>
      </c>
      <c r="L379" s="1690"/>
      <c r="M379" s="1690"/>
      <c r="N379" s="1690"/>
      <c r="O379" s="1690"/>
      <c r="P379" s="1690"/>
      <c r="Q379" s="983"/>
      <c r="R379" s="983"/>
      <c r="S379" s="983"/>
      <c r="T379" s="1858">
        <f t="shared" si="57"/>
        <v>0</v>
      </c>
    </row>
    <row r="380" spans="1:21" ht="22.2" hidden="1" customHeight="1">
      <c r="A380" s="1444">
        <f>COUNTIF($C$12:C380,"x")</f>
        <v>29</v>
      </c>
      <c r="B380" s="1449" t="s">
        <v>1434</v>
      </c>
      <c r="C380" s="60" t="str">
        <f t="shared" si="58"/>
        <v xml:space="preserve"> </v>
      </c>
      <c r="D380" s="1416">
        <v>53.24</v>
      </c>
      <c r="E380" s="980">
        <f>VLOOKUP($B380,DG!A:D,DG!$B$2,)</f>
        <v>0</v>
      </c>
      <c r="F380" s="986" t="str">
        <f>VLOOKUP($B380,DG!A:D,DG!$C$2,)</f>
        <v>Sắt Ø16</v>
      </c>
      <c r="G380" s="980" t="str">
        <f>VLOOKUP($B380,DG!A:D,DG!$D$2,)</f>
        <v>kg</v>
      </c>
      <c r="H380" s="1690">
        <f t="shared" si="69"/>
        <v>0</v>
      </c>
      <c r="I380" s="1690"/>
      <c r="J380" s="1690"/>
      <c r="K380" s="1690">
        <f t="shared" si="70"/>
        <v>106.48</v>
      </c>
      <c r="L380" s="1690"/>
      <c r="M380" s="1690"/>
      <c r="N380" s="1690"/>
      <c r="O380" s="1690"/>
      <c r="P380" s="1690"/>
      <c r="Q380" s="983"/>
      <c r="R380" s="983"/>
      <c r="S380" s="983"/>
      <c r="T380" s="1858">
        <f t="shared" si="57"/>
        <v>0</v>
      </c>
    </row>
    <row r="381" spans="1:21" ht="22.2" hidden="1" customHeight="1">
      <c r="A381" s="1444">
        <f>COUNTIF($C$12:C381,"x")</f>
        <v>29</v>
      </c>
      <c r="B381" s="1449" t="s">
        <v>995</v>
      </c>
      <c r="C381" s="60" t="str">
        <f t="shared" si="58"/>
        <v xml:space="preserve"> </v>
      </c>
      <c r="D381" s="1416">
        <v>4.4400000000000004</v>
      </c>
      <c r="E381" s="980">
        <f>VLOOKUP($B381,DG!A:D,DG!$B$2,)</f>
        <v>0</v>
      </c>
      <c r="F381" s="986" t="str">
        <f>VLOOKUP($B381,DG!A:D,DG!$C$2,)</f>
        <v>Sắt Ø10</v>
      </c>
      <c r="G381" s="980" t="str">
        <f>VLOOKUP($B381,DG!A:D,DG!$D$2,)</f>
        <v>kg</v>
      </c>
      <c r="H381" s="1690">
        <f t="shared" si="69"/>
        <v>0</v>
      </c>
      <c r="I381" s="1690"/>
      <c r="J381" s="1690"/>
      <c r="K381" s="1690">
        <f t="shared" si="70"/>
        <v>8.8800000000000008</v>
      </c>
      <c r="L381" s="1690"/>
      <c r="M381" s="1690"/>
      <c r="N381" s="1690"/>
      <c r="O381" s="1690"/>
      <c r="P381" s="1690"/>
      <c r="Q381" s="983"/>
      <c r="R381" s="983"/>
      <c r="S381" s="983"/>
      <c r="T381" s="1858">
        <f t="shared" si="57"/>
        <v>0</v>
      </c>
    </row>
    <row r="382" spans="1:21" ht="22.2" hidden="1" customHeight="1">
      <c r="A382" s="1444">
        <f>COUNTIF($C$12:C382,"x")</f>
        <v>29</v>
      </c>
      <c r="B382" s="1449" t="s">
        <v>745</v>
      </c>
      <c r="C382" s="60" t="str">
        <f t="shared" si="58"/>
        <v xml:space="preserve"> </v>
      </c>
      <c r="D382" s="1416">
        <v>13.36</v>
      </c>
      <c r="E382" s="980">
        <f>VLOOKUP($B382,DG!A:D,DG!$B$2,)</f>
        <v>0</v>
      </c>
      <c r="F382" s="986" t="str">
        <f>VLOOKUP($B382,DG!A:D,DG!$C$2,)</f>
        <v>Sắt Ø8</v>
      </c>
      <c r="G382" s="980" t="str">
        <f>VLOOKUP($B382,DG!A:D,DG!$D$2,)</f>
        <v>kg</v>
      </c>
      <c r="H382" s="1690">
        <f t="shared" si="69"/>
        <v>0</v>
      </c>
      <c r="I382" s="1690"/>
      <c r="J382" s="1690"/>
      <c r="K382" s="1690">
        <f t="shared" si="70"/>
        <v>26.72</v>
      </c>
      <c r="L382" s="1690"/>
      <c r="M382" s="1690"/>
      <c r="N382" s="1690"/>
      <c r="O382" s="1690"/>
      <c r="P382" s="1690"/>
      <c r="Q382" s="983"/>
      <c r="R382" s="983"/>
      <c r="S382" s="983"/>
      <c r="T382" s="1858">
        <f t="shared" si="57"/>
        <v>0</v>
      </c>
    </row>
    <row r="383" spans="1:21" ht="22.2" hidden="1" customHeight="1">
      <c r="A383" s="1444">
        <f>COUNTIF($C$12:C383,"x")</f>
        <v>29</v>
      </c>
      <c r="B383" s="1449" t="s">
        <v>996</v>
      </c>
      <c r="C383" s="60" t="str">
        <f t="shared" si="58"/>
        <v xml:space="preserve"> </v>
      </c>
      <c r="D383" s="1416"/>
      <c r="E383" s="980">
        <f>VLOOKUP($B383,DG!A:D,DG!$B$2,)</f>
        <v>0</v>
      </c>
      <c r="F383" s="986" t="str">
        <f>VLOOKUP($B383,DG!A:D,DG!$C$2,)</f>
        <v>Kẽm</v>
      </c>
      <c r="G383" s="980" t="str">
        <f>VLOOKUP($B383,DG!A:D,DG!$D$2,)</f>
        <v>kg</v>
      </c>
      <c r="H383" s="1690">
        <f t="shared" si="69"/>
        <v>0</v>
      </c>
      <c r="I383" s="1690"/>
      <c r="J383" s="1690"/>
      <c r="K383" s="1690">
        <f t="shared" si="70"/>
        <v>0</v>
      </c>
      <c r="L383" s="1690"/>
      <c r="M383" s="1690"/>
      <c r="N383" s="1690"/>
      <c r="O383" s="1690"/>
      <c r="P383" s="1690"/>
      <c r="Q383" s="983"/>
      <c r="R383" s="983"/>
      <c r="S383" s="983"/>
      <c r="T383" s="1858">
        <f t="shared" si="57"/>
        <v>0</v>
      </c>
    </row>
    <row r="384" spans="1:21" ht="22.2" hidden="1" customHeight="1">
      <c r="A384" s="1444">
        <f>COUNTIF($C$12:C384,"x")</f>
        <v>29</v>
      </c>
      <c r="B384" s="1449" t="s">
        <v>1430</v>
      </c>
      <c r="C384" s="60" t="str">
        <f t="shared" si="58"/>
        <v xml:space="preserve"> </v>
      </c>
      <c r="D384" s="1416">
        <v>2</v>
      </c>
      <c r="E384" s="980"/>
      <c r="F384" s="986" t="str">
        <f>VLOOKUP($B384,DG!A:D,DG!$C$2,)</f>
        <v>Cong D1000x1000mm</v>
      </c>
      <c r="G384" s="980" t="str">
        <f>VLOOKUP($B384,DG!A:D,DG!$D$2,)</f>
        <v>cái</v>
      </c>
      <c r="H384" s="1690">
        <f t="shared" si="69"/>
        <v>0</v>
      </c>
      <c r="I384" s="1690"/>
      <c r="J384" s="1690"/>
      <c r="K384" s="1690">
        <f t="shared" si="70"/>
        <v>4</v>
      </c>
      <c r="L384" s="1690"/>
      <c r="M384" s="1690"/>
      <c r="N384" s="1690"/>
      <c r="O384" s="1690"/>
      <c r="P384" s="1690"/>
      <c r="Q384" s="983"/>
      <c r="R384" s="983"/>
      <c r="S384" s="983"/>
      <c r="T384" s="1858">
        <f t="shared" si="57"/>
        <v>0</v>
      </c>
    </row>
    <row r="385" spans="1:20" ht="22.2" hidden="1" customHeight="1">
      <c r="A385" s="1444">
        <f>COUNTIF($C$12:C385,"x")</f>
        <v>29</v>
      </c>
      <c r="B385" s="1449" t="s">
        <v>1431</v>
      </c>
      <c r="C385" s="60" t="str">
        <f t="shared" si="58"/>
        <v xml:space="preserve"> </v>
      </c>
      <c r="D385" s="1416">
        <v>1</v>
      </c>
      <c r="E385" s="980"/>
      <c r="F385" s="986" t="str">
        <f>VLOOKUP($B385,DG!A:D,DG!$C$2,)</f>
        <v>Cong D1000x400mm</v>
      </c>
      <c r="G385" s="980" t="str">
        <f>VLOOKUP($B385,DG!A:D,DG!$D$2,)</f>
        <v>cái</v>
      </c>
      <c r="H385" s="1690">
        <f t="shared" si="69"/>
        <v>0</v>
      </c>
      <c r="I385" s="1690"/>
      <c r="J385" s="1690"/>
      <c r="K385" s="1690">
        <f t="shared" si="70"/>
        <v>2</v>
      </c>
      <c r="L385" s="1690"/>
      <c r="M385" s="1690"/>
      <c r="N385" s="1690"/>
      <c r="O385" s="1690"/>
      <c r="P385" s="1690"/>
      <c r="Q385" s="983"/>
      <c r="R385" s="983"/>
      <c r="S385" s="983"/>
      <c r="T385" s="1858">
        <f t="shared" si="57"/>
        <v>0</v>
      </c>
    </row>
    <row r="386" spans="1:20" ht="22.2" hidden="1" customHeight="1">
      <c r="A386" s="1444">
        <f>COUNTIF($C$12:C386,"x")</f>
        <v>29</v>
      </c>
      <c r="B386" s="1451" t="s">
        <v>639</v>
      </c>
      <c r="C386" s="60" t="str">
        <f t="shared" si="58"/>
        <v xml:space="preserve"> </v>
      </c>
      <c r="D386" s="1416">
        <v>1.93</v>
      </c>
      <c r="E386" s="980" t="str">
        <f>VLOOKUP($B386,DG!A:D,DG!$B$2,)</f>
        <v>03.1013</v>
      </c>
      <c r="F386" s="981" t="str">
        <f>VLOOKUP($B386,DG!A:D,DG!$C$2,)</f>
        <v>Đào hố móng đất cấp 3 sâu &gt;1m</v>
      </c>
      <c r="G386" s="980" t="str">
        <f>VLOOKUP($B386,DG!A:D,DG!$D$2,)</f>
        <v>m3</v>
      </c>
      <c r="H386" s="1690">
        <f t="shared" si="69"/>
        <v>0</v>
      </c>
      <c r="I386" s="1690"/>
      <c r="J386" s="1690"/>
      <c r="K386" s="1690">
        <f t="shared" si="70"/>
        <v>3.86</v>
      </c>
      <c r="L386" s="1690"/>
      <c r="M386" s="1690"/>
      <c r="N386" s="1690"/>
      <c r="O386" s="1690"/>
      <c r="P386" s="1690"/>
      <c r="Q386" s="983"/>
      <c r="R386" s="983"/>
      <c r="S386" s="983"/>
      <c r="T386" s="1858">
        <f t="shared" si="57"/>
        <v>0</v>
      </c>
    </row>
    <row r="387" spans="1:20" ht="22.2" hidden="1" customHeight="1">
      <c r="A387" s="1444">
        <f>COUNTIF($C$12:C387,"x")</f>
        <v>29</v>
      </c>
      <c r="B387" s="1449" t="s">
        <v>1293</v>
      </c>
      <c r="C387" s="60" t="str">
        <f t="shared" si="58"/>
        <v xml:space="preserve"> </v>
      </c>
      <c r="D387" s="1412"/>
      <c r="E387" s="980" t="str">
        <f>VLOOKUP($B387,DG!A:D,DG!$B$2,)</f>
        <v>02.1101</v>
      </c>
      <c r="F387" s="986" t="s">
        <v>2366</v>
      </c>
      <c r="G387" s="980" t="str">
        <f>VLOOKUP($B387,DG!A:D,DG!$D$2,)</f>
        <v>tấn</v>
      </c>
      <c r="H387" s="1690">
        <f t="shared" si="69"/>
        <v>0</v>
      </c>
      <c r="I387" s="1690"/>
      <c r="J387" s="1690"/>
      <c r="K387" s="1690">
        <f t="shared" si="70"/>
        <v>0</v>
      </c>
      <c r="L387" s="1690"/>
      <c r="M387" s="1690"/>
      <c r="N387" s="1690"/>
      <c r="O387" s="1690"/>
      <c r="P387" s="1690"/>
      <c r="Q387" s="983"/>
      <c r="R387" s="983"/>
      <c r="S387" s="983"/>
      <c r="T387" s="1858">
        <f t="shared" si="57"/>
        <v>0</v>
      </c>
    </row>
    <row r="388" spans="1:20" ht="22.2" hidden="1" customHeight="1">
      <c r="A388" s="1444">
        <f>COUNTIF($C$12:C388,"x")</f>
        <v>29</v>
      </c>
      <c r="B388" s="1449" t="s">
        <v>133</v>
      </c>
      <c r="C388" s="60" t="str">
        <f t="shared" si="58"/>
        <v xml:space="preserve"> </v>
      </c>
      <c r="D388" s="1412"/>
      <c r="E388" s="980" t="str">
        <f>VLOOKUP($B388,DG!A:D,DG!$B$2,)</f>
        <v>02.1103</v>
      </c>
      <c r="F388" s="981" t="str">
        <f>VLOOKUP($B388,DG!A:D,DG!$C$2,)</f>
        <v>Bốc dỡ cát</v>
      </c>
      <c r="G388" s="980" t="str">
        <f>VLOOKUP($B388,DG!A:D,DG!$D$2,)</f>
        <v>m3</v>
      </c>
      <c r="H388" s="1690">
        <f t="shared" si="69"/>
        <v>0</v>
      </c>
      <c r="I388" s="1690"/>
      <c r="J388" s="1690"/>
      <c r="K388" s="1690"/>
      <c r="L388" s="1690"/>
      <c r="M388" s="1690"/>
      <c r="N388" s="1690"/>
      <c r="O388" s="1690"/>
      <c r="P388" s="1690"/>
      <c r="Q388" s="987"/>
      <c r="R388" s="987"/>
      <c r="S388" s="987"/>
      <c r="T388" s="1858">
        <f t="shared" si="57"/>
        <v>0</v>
      </c>
    </row>
    <row r="389" spans="1:20" ht="22.2" hidden="1" customHeight="1">
      <c r="A389" s="1444">
        <f>COUNTIF($C$12:C389,"x")</f>
        <v>29</v>
      </c>
      <c r="B389" s="1449" t="s">
        <v>135</v>
      </c>
      <c r="C389" s="60" t="str">
        <f t="shared" si="58"/>
        <v xml:space="preserve"> </v>
      </c>
      <c r="D389" s="1412"/>
      <c r="E389" s="980" t="str">
        <f>VLOOKUP($B389,DG!A:D,DG!$B$2,)</f>
        <v>02.1104</v>
      </c>
      <c r="F389" s="981" t="str">
        <f>VLOOKUP($B389,DG!A:D,DG!$C$2,)</f>
        <v>Bốc dỡ đá dăm</v>
      </c>
      <c r="G389" s="980" t="str">
        <f>VLOOKUP($B389,DG!A:D,DG!$D$2,)</f>
        <v>m3</v>
      </c>
      <c r="H389" s="1690">
        <f t="shared" si="69"/>
        <v>0</v>
      </c>
      <c r="I389" s="1690"/>
      <c r="J389" s="1690"/>
      <c r="K389" s="1690"/>
      <c r="L389" s="1690"/>
      <c r="M389" s="1690"/>
      <c r="N389" s="1690"/>
      <c r="O389" s="1690"/>
      <c r="P389" s="1690"/>
      <c r="Q389" s="987"/>
      <c r="R389" s="987"/>
      <c r="S389" s="987"/>
      <c r="T389" s="1858">
        <f t="shared" si="57"/>
        <v>0</v>
      </c>
    </row>
    <row r="390" spans="1:20" ht="22.2" hidden="1" customHeight="1">
      <c r="A390" s="1444">
        <f>COUNTIF($C$12:C390,"x")</f>
        <v>29</v>
      </c>
      <c r="B390" s="1449" t="s">
        <v>495</v>
      </c>
      <c r="C390" s="60" t="str">
        <f t="shared" si="58"/>
        <v xml:space="preserve"> </v>
      </c>
      <c r="D390" s="1412"/>
      <c r="E390" s="980" t="str">
        <f>VLOOKUP($B390,DG!A:D,DG!$B$2,)</f>
        <v>02.1211</v>
      </c>
      <c r="F390" s="981" t="str">
        <f>VLOOKUP($B390,DG!A:D,DG!$C$2,)</f>
        <v>V/c xi măng ( cự ly &lt;=100m)</v>
      </c>
      <c r="G390" s="980" t="str">
        <f>VLOOKUP($B390,DG!A:D,DG!$D$2,)</f>
        <v>tấn</v>
      </c>
      <c r="H390" s="1690">
        <f t="shared" si="69"/>
        <v>0</v>
      </c>
      <c r="I390" s="1690"/>
      <c r="J390" s="1690"/>
      <c r="K390" s="1690"/>
      <c r="L390" s="1690"/>
      <c r="M390" s="1690"/>
      <c r="N390" s="1690"/>
      <c r="O390" s="1690"/>
      <c r="P390" s="1690"/>
      <c r="Q390" s="987"/>
      <c r="R390" s="987"/>
      <c r="S390" s="987"/>
      <c r="T390" s="1858">
        <f t="shared" si="57"/>
        <v>0</v>
      </c>
    </row>
    <row r="391" spans="1:20" ht="22.2" hidden="1" customHeight="1">
      <c r="A391" s="1444">
        <f>COUNTIF($C$12:C391,"x")</f>
        <v>29</v>
      </c>
      <c r="B391" s="1449" t="s">
        <v>1611</v>
      </c>
      <c r="C391" s="60" t="str">
        <f t="shared" si="58"/>
        <v xml:space="preserve"> </v>
      </c>
      <c r="D391" s="1412"/>
      <c r="E391" s="980" t="str">
        <f>VLOOKUP($B391,DG!A:D,DG!$B$2,)</f>
        <v>02.1231</v>
      </c>
      <c r="F391" s="981" t="str">
        <f>VLOOKUP($B391,DG!A:D,DG!$C$2,)</f>
        <v>V/c cát vàng cự ly &lt;=100m</v>
      </c>
      <c r="G391" s="980" t="str">
        <f>VLOOKUP($B391,DG!A:D,DG!$D$2,)</f>
        <v>m3</v>
      </c>
      <c r="H391" s="1690">
        <f t="shared" si="69"/>
        <v>0</v>
      </c>
      <c r="I391" s="1690"/>
      <c r="J391" s="1690"/>
      <c r="K391" s="1690"/>
      <c r="L391" s="1690"/>
      <c r="M391" s="1690"/>
      <c r="N391" s="1690"/>
      <c r="O391" s="1690"/>
      <c r="P391" s="1690"/>
      <c r="Q391" s="987"/>
      <c r="R391" s="987"/>
      <c r="S391" s="987"/>
      <c r="T391" s="1858">
        <f t="shared" si="57"/>
        <v>0</v>
      </c>
    </row>
    <row r="392" spans="1:20" ht="22.2" hidden="1" customHeight="1">
      <c r="A392" s="1444">
        <f>COUNTIF($C$12:C392,"x")</f>
        <v>29</v>
      </c>
      <c r="B392" s="1449" t="s">
        <v>521</v>
      </c>
      <c r="C392" s="60" t="str">
        <f t="shared" si="58"/>
        <v xml:space="preserve"> </v>
      </c>
      <c r="D392" s="1412"/>
      <c r="E392" s="980" t="str">
        <f>VLOOKUP($B392,DG!A:D,DG!$B$2,)</f>
        <v>02.1241</v>
      </c>
      <c r="F392" s="981" t="str">
        <f>VLOOKUP($B392,DG!A:D,DG!$C$2,)</f>
        <v>V/c đá dăm ( cự ly &lt;=100m)</v>
      </c>
      <c r="G392" s="980" t="str">
        <f>VLOOKUP($B392,DG!A:D,DG!$D$2,)</f>
        <v>m3</v>
      </c>
      <c r="H392" s="1690">
        <f t="shared" si="69"/>
        <v>0</v>
      </c>
      <c r="I392" s="1690"/>
      <c r="J392" s="1690"/>
      <c r="K392" s="1690"/>
      <c r="L392" s="1690"/>
      <c r="M392" s="1690"/>
      <c r="N392" s="1690"/>
      <c r="O392" s="1690"/>
      <c r="P392" s="1690"/>
      <c r="Q392" s="987"/>
      <c r="R392" s="987"/>
      <c r="S392" s="987"/>
      <c r="T392" s="1858">
        <f t="shared" si="57"/>
        <v>0</v>
      </c>
    </row>
    <row r="393" spans="1:20" ht="22.2" hidden="1" customHeight="1">
      <c r="A393" s="1444">
        <f>COUNTIF($C$12:C393,"x")</f>
        <v>29</v>
      </c>
      <c r="B393" s="1449" t="s">
        <v>1981</v>
      </c>
      <c r="C393" s="60" t="str">
        <f t="shared" si="58"/>
        <v xml:space="preserve"> </v>
      </c>
      <c r="D393" s="1412"/>
      <c r="E393" s="980" t="str">
        <f>VLOOKUP($B393,DG!A:D,DG!$B$2,)</f>
        <v>02.1482</v>
      </c>
      <c r="F393" s="981" t="str">
        <f>VLOOKUP($B393,DG!A:D,DG!$C$2,)</f>
        <v>V/c dụng cụ thi công ( cự ly &lt;=100m)</v>
      </c>
      <c r="G393" s="980" t="str">
        <f>VLOOKUP($B393,DG!A:D,DG!$D$2,)</f>
        <v>tấn</v>
      </c>
      <c r="H393" s="1690">
        <f t="shared" si="69"/>
        <v>0</v>
      </c>
      <c r="I393" s="1690"/>
      <c r="J393" s="1690"/>
      <c r="K393" s="1690"/>
      <c r="L393" s="1690"/>
      <c r="M393" s="1690"/>
      <c r="N393" s="1690"/>
      <c r="O393" s="1690"/>
      <c r="P393" s="1690"/>
      <c r="Q393" s="987"/>
      <c r="R393" s="987"/>
      <c r="S393" s="987"/>
      <c r="T393" s="1858">
        <f t="shared" si="57"/>
        <v>0</v>
      </c>
    </row>
    <row r="394" spans="1:20" ht="22.2" hidden="1" customHeight="1">
      <c r="A394" s="1444">
        <f>COUNTIF($C$12:C394,"x")</f>
        <v>29</v>
      </c>
      <c r="B394" s="1449" t="s">
        <v>997</v>
      </c>
      <c r="C394" s="60" t="str">
        <f t="shared" si="58"/>
        <v xml:space="preserve"> </v>
      </c>
      <c r="D394" s="1412">
        <f>D380</f>
        <v>53.24</v>
      </c>
      <c r="E394" s="980" t="str">
        <f>VLOOKUP($B394,DG!A:D,DG!$B$2,)</f>
        <v>04.5101</v>
      </c>
      <c r="F394" s="981" t="str">
        <f>VLOOKUP($B394,DG!A:D,DG!$C$2,)</f>
        <v>Gia công và lắp dựng cốt thép D&lt;=10</v>
      </c>
      <c r="G394" s="980" t="str">
        <f>VLOOKUP($B394,DG!A:D,DG!$D$2,)</f>
        <v>kg</v>
      </c>
      <c r="H394" s="1690">
        <f t="shared" si="69"/>
        <v>0</v>
      </c>
      <c r="I394" s="1690"/>
      <c r="J394" s="1690"/>
      <c r="K394" s="1690"/>
      <c r="L394" s="1690"/>
      <c r="M394" s="1690"/>
      <c r="N394" s="1690"/>
      <c r="O394" s="1690"/>
      <c r="P394" s="1690"/>
      <c r="Q394" s="987"/>
      <c r="R394" s="987"/>
      <c r="S394" s="987"/>
      <c r="T394" s="1858">
        <f t="shared" si="57"/>
        <v>0</v>
      </c>
    </row>
    <row r="395" spans="1:20" ht="22.2" hidden="1" customHeight="1">
      <c r="A395" s="1444">
        <f>COUNTIF($C$12:C395,"x")</f>
        <v>29</v>
      </c>
      <c r="B395" s="1449" t="s">
        <v>1835</v>
      </c>
      <c r="C395" s="60" t="str">
        <f t="shared" si="58"/>
        <v xml:space="preserve"> </v>
      </c>
      <c r="D395" s="1412">
        <v>1.93</v>
      </c>
      <c r="E395" s="980" t="str">
        <f>VLOOKUP($B395,DG!A:D,DG!$B$2,)</f>
        <v>04.1203b</v>
      </c>
      <c r="F395" s="981" t="str">
        <f>VLOOKUP($B395,DG!A:D,DG!$C$2,)</f>
        <v>Đổ bê tông mác M150 đá 1x2</v>
      </c>
      <c r="G395" s="980" t="str">
        <f>VLOOKUP($B395,DG!A:D,DG!$D$2,)</f>
        <v>m3</v>
      </c>
      <c r="H395" s="1690">
        <f t="shared" si="69"/>
        <v>0</v>
      </c>
      <c r="I395" s="1690"/>
      <c r="J395" s="1690"/>
      <c r="K395" s="1690"/>
      <c r="L395" s="1690"/>
      <c r="M395" s="1690"/>
      <c r="N395" s="1690"/>
      <c r="O395" s="1690"/>
      <c r="P395" s="1690"/>
      <c r="Q395" s="987"/>
      <c r="R395" s="987"/>
      <c r="S395" s="987"/>
      <c r="T395" s="1858">
        <f t="shared" si="57"/>
        <v>0</v>
      </c>
    </row>
    <row r="396" spans="1:20" ht="22.2" hidden="1" customHeight="1">
      <c r="A396" s="1444">
        <f>COUNTIF($C$12:C396,"x")</f>
        <v>29</v>
      </c>
      <c r="B396" s="1448" t="s">
        <v>2264</v>
      </c>
      <c r="C396" s="59" t="str">
        <f t="shared" si="58"/>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2" hidden="1" customHeight="1">
      <c r="A397" s="1444">
        <f>COUNTIF($C$12:C397,"x")</f>
        <v>29</v>
      </c>
      <c r="B397" s="1449" t="s">
        <v>751</v>
      </c>
      <c r="C397" s="60" t="str">
        <f t="shared" si="58"/>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7"/>
        <v>0</v>
      </c>
    </row>
    <row r="398" spans="1:20" ht="22.2" hidden="1" customHeight="1">
      <c r="A398" s="1444">
        <f>COUNTIF($C$12:C398,"x")</f>
        <v>29</v>
      </c>
      <c r="B398" s="1450" t="s">
        <v>4412</v>
      </c>
      <c r="C398" s="60" t="str">
        <f t="shared" si="58"/>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7"/>
        <v>0</v>
      </c>
    </row>
    <row r="399" spans="1:20" ht="22.2" hidden="1" customHeight="1">
      <c r="A399" s="1444">
        <f>COUNTIF($C$12:C399,"x")</f>
        <v>29</v>
      </c>
      <c r="B399" s="1449" t="s">
        <v>867</v>
      </c>
      <c r="C399" s="60" t="str">
        <f t="shared" si="58"/>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7"/>
        <v>0</v>
      </c>
    </row>
    <row r="400" spans="1:20" ht="22.2" hidden="1" customHeight="1">
      <c r="A400" s="1444">
        <f>COUNTIF($C$12:C400,"x")</f>
        <v>29</v>
      </c>
      <c r="B400" s="1449" t="s">
        <v>1392</v>
      </c>
      <c r="C400" s="60" t="str">
        <f t="shared" si="58"/>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7"/>
        <v>0</v>
      </c>
    </row>
    <row r="401" spans="1:20" ht="22.2" hidden="1" customHeight="1">
      <c r="A401" s="1444">
        <f>COUNTIF($C$12:C401,"x")</f>
        <v>29</v>
      </c>
      <c r="B401" s="1449" t="s">
        <v>1826</v>
      </c>
      <c r="C401" s="60" t="str">
        <f t="shared" si="58"/>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1">IFERROR(HLOOKUP(B401,BangKeTru,3,0),0)</f>
        <v>0</v>
      </c>
    </row>
    <row r="402" spans="1:20" ht="22.2" hidden="1" customHeight="1">
      <c r="A402" s="1444">
        <f>COUNTIF($C$12:C402,"x")</f>
        <v>29</v>
      </c>
      <c r="B402" s="1449" t="s">
        <v>1293</v>
      </c>
      <c r="C402" s="60" t="str">
        <f t="shared" ref="C402:C482" si="72">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1"/>
        <v>0</v>
      </c>
    </row>
    <row r="403" spans="1:20" ht="22.2" hidden="1" customHeight="1">
      <c r="A403" s="1444">
        <f>COUNTIF($C$12:C403,"x")</f>
        <v>29</v>
      </c>
      <c r="B403" s="1449" t="s">
        <v>133</v>
      </c>
      <c r="C403" s="60" t="str">
        <f t="shared" si="72"/>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1"/>
        <v>0</v>
      </c>
    </row>
    <row r="404" spans="1:20" ht="22.2" hidden="1" customHeight="1">
      <c r="A404" s="1444">
        <f>COUNTIF($C$12:C404,"x")</f>
        <v>29</v>
      </c>
      <c r="B404" s="1449" t="s">
        <v>135</v>
      </c>
      <c r="C404" s="60" t="str">
        <f t="shared" si="72"/>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1"/>
        <v>0</v>
      </c>
    </row>
    <row r="405" spans="1:20" ht="22.2" hidden="1" customHeight="1">
      <c r="A405" s="1444">
        <f>COUNTIF($C$12:C405,"x")</f>
        <v>29</v>
      </c>
      <c r="B405" s="1449" t="s">
        <v>495</v>
      </c>
      <c r="C405" s="60" t="str">
        <f t="shared" si="72"/>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1"/>
        <v>0</v>
      </c>
    </row>
    <row r="406" spans="1:20" ht="22.2" hidden="1" customHeight="1">
      <c r="A406" s="1444">
        <f>COUNTIF($C$12:C406,"x")</f>
        <v>29</v>
      </c>
      <c r="B406" s="1449" t="s">
        <v>1611</v>
      </c>
      <c r="C406" s="60" t="str">
        <f t="shared" si="72"/>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1"/>
        <v>0</v>
      </c>
    </row>
    <row r="407" spans="1:20" ht="22.2" hidden="1" customHeight="1">
      <c r="A407" s="1444">
        <f>COUNTIF($C$12:C407,"x")</f>
        <v>29</v>
      </c>
      <c r="B407" s="1449" t="s">
        <v>521</v>
      </c>
      <c r="C407" s="60" t="str">
        <f t="shared" si="72"/>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1"/>
        <v>0</v>
      </c>
    </row>
    <row r="408" spans="1:20" ht="22.2" hidden="1" customHeight="1">
      <c r="A408" s="1444">
        <f>COUNTIF($C$12:C408,"x")</f>
        <v>29</v>
      </c>
      <c r="B408" s="1449" t="s">
        <v>1981</v>
      </c>
      <c r="C408" s="60" t="str">
        <f t="shared" si="72"/>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1"/>
        <v>0</v>
      </c>
    </row>
    <row r="409" spans="1:20" ht="22.2" hidden="1" customHeight="1">
      <c r="A409" s="1444">
        <f>COUNTIF($C$12:C409,"x")</f>
        <v>29</v>
      </c>
      <c r="B409" s="1448" t="s">
        <v>780</v>
      </c>
      <c r="C409" s="59" t="str">
        <f t="shared" si="72"/>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2" hidden="1" customHeight="1">
      <c r="A410" s="1444">
        <f>COUNTIF($C$12:C410,"x")</f>
        <v>29</v>
      </c>
      <c r="B410" s="1461" t="s">
        <v>639</v>
      </c>
      <c r="C410" s="60" t="str">
        <f t="shared" si="72"/>
        <v xml:space="preserve"> </v>
      </c>
      <c r="D410" s="1415">
        <v>0.4</v>
      </c>
      <c r="E410" s="980"/>
      <c r="F410" s="981" t="str">
        <f>VLOOKUP($B410,DG!A:D,DG!$C$2,)</f>
        <v>Đào hố móng đất cấp 3 sâu &gt;1m</v>
      </c>
      <c r="G410" s="980" t="str">
        <f>VLOOKUP($B410,DG!A:D,DG!$D$2,)</f>
        <v>m3</v>
      </c>
      <c r="H410" s="1690">
        <f>$H$409*D410</f>
        <v>0</v>
      </c>
      <c r="I410" s="1690">
        <f t="shared" ref="I410:N410" si="73">I$244*$D410</f>
        <v>0</v>
      </c>
      <c r="J410" s="1690">
        <f t="shared" si="73"/>
        <v>0</v>
      </c>
      <c r="K410" s="1690">
        <f t="shared" si="73"/>
        <v>3.2</v>
      </c>
      <c r="L410" s="1690">
        <f t="shared" si="73"/>
        <v>0</v>
      </c>
      <c r="M410" s="1690">
        <f t="shared" si="73"/>
        <v>0</v>
      </c>
      <c r="N410" s="1690">
        <f t="shared" si="73"/>
        <v>0</v>
      </c>
      <c r="O410" s="1690"/>
      <c r="P410" s="1690"/>
      <c r="Q410" s="984"/>
      <c r="R410" s="984"/>
      <c r="S410" s="984"/>
      <c r="T410" s="1858">
        <f t="shared" si="71"/>
        <v>0</v>
      </c>
    </row>
    <row r="411" spans="1:20" ht="22.2" hidden="1" customHeight="1">
      <c r="A411" s="1444">
        <f>COUNTIF($C$12:C411,"x")</f>
        <v>29</v>
      </c>
      <c r="B411" s="1451" t="s">
        <v>21</v>
      </c>
      <c r="C411" s="60" t="str">
        <f t="shared" si="72"/>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4">I$18*$D411</f>
        <v>0</v>
      </c>
      <c r="J411" s="1689">
        <f t="shared" si="74"/>
        <v>0</v>
      </c>
      <c r="K411" s="1689">
        <f t="shared" si="74"/>
        <v>0</v>
      </c>
      <c r="L411" s="1689">
        <f t="shared" si="74"/>
        <v>0</v>
      </c>
      <c r="M411" s="1689">
        <f t="shared" si="74"/>
        <v>0</v>
      </c>
      <c r="N411" s="1689">
        <f t="shared" si="74"/>
        <v>0</v>
      </c>
      <c r="O411" s="1689"/>
      <c r="P411" s="1689"/>
      <c r="Q411" s="985"/>
      <c r="R411" s="985"/>
      <c r="S411" s="985"/>
      <c r="T411" s="1858">
        <f t="shared" si="71"/>
        <v>0</v>
      </c>
    </row>
    <row r="412" spans="1:20" ht="22.2" hidden="1" customHeight="1">
      <c r="A412" s="1444">
        <f>COUNTIF($C$12:C412,"x")</f>
        <v>29</v>
      </c>
      <c r="B412" s="1449" t="s">
        <v>635</v>
      </c>
      <c r="C412" s="60" t="str">
        <f t="shared" si="72"/>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1"/>
        <v>0</v>
      </c>
    </row>
    <row r="413" spans="1:20" ht="22.2" hidden="1" customHeight="1">
      <c r="A413" s="1444">
        <f>COUNTIF($C$12:C413,"x")</f>
        <v>29</v>
      </c>
      <c r="B413" s="1448" t="s">
        <v>648</v>
      </c>
      <c r="C413" s="59" t="str">
        <f t="shared" si="72"/>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2" hidden="1" customHeight="1">
      <c r="A414" s="1444">
        <f>COUNTIF($C$12:C414,"x")</f>
        <v>29</v>
      </c>
      <c r="B414" s="1461" t="s">
        <v>636</v>
      </c>
      <c r="C414" s="60" t="str">
        <f t="shared" si="72"/>
        <v xml:space="preserve"> </v>
      </c>
      <c r="D414" s="1414">
        <v>1</v>
      </c>
      <c r="E414" s="976" t="str">
        <f>VLOOKUP($B414,DG!A:D,DG!$B$2,)</f>
        <v>04.4001</v>
      </c>
      <c r="F414" s="986" t="str">
        <f>VLOOKUP($B414,DG!A:D,DG!$C$2,)</f>
        <v>Đà cản BTCT 1,2m</v>
      </c>
      <c r="G414" s="980" t="str">
        <f>VLOOKUP($B414,DG!A:D,DG!$D$2,)</f>
        <v>cái</v>
      </c>
      <c r="H414" s="1690">
        <f t="shared" ref="H414:N415" si="75">H$413*$D414</f>
        <v>0</v>
      </c>
      <c r="I414" s="1690">
        <f t="shared" si="75"/>
        <v>0</v>
      </c>
      <c r="J414" s="1690">
        <f t="shared" si="75"/>
        <v>0</v>
      </c>
      <c r="K414" s="1690">
        <f t="shared" si="75"/>
        <v>0</v>
      </c>
      <c r="L414" s="1690">
        <f t="shared" si="75"/>
        <v>0</v>
      </c>
      <c r="M414" s="1690">
        <f t="shared" si="75"/>
        <v>0</v>
      </c>
      <c r="N414" s="1690">
        <f t="shared" si="75"/>
        <v>0</v>
      </c>
      <c r="O414" s="1690"/>
      <c r="P414" s="1690"/>
      <c r="Q414" s="984"/>
      <c r="R414" s="984"/>
      <c r="S414" s="984"/>
      <c r="T414" s="1858">
        <f t="shared" si="71"/>
        <v>0</v>
      </c>
    </row>
    <row r="415" spans="1:20" ht="22.2" hidden="1" customHeight="1">
      <c r="A415" s="1444">
        <f>COUNTIF($C$12:C415,"x")</f>
        <v>29</v>
      </c>
      <c r="B415" s="1461" t="s">
        <v>566</v>
      </c>
      <c r="C415" s="60" t="str">
        <f t="shared" si="72"/>
        <v xml:space="preserve"> </v>
      </c>
      <c r="D415" s="1414">
        <v>1</v>
      </c>
      <c r="E415" s="980"/>
      <c r="F415" s="986" t="str">
        <f>VLOOKUP($B415,DG!A:D,DG!$C$2,)</f>
        <v>Boulon 22x650+ 2 long đền vuông D24-50x50x3/Zn</v>
      </c>
      <c r="G415" s="980" t="str">
        <f>VLOOKUP($B415,DG!A:D,DG!$D$2,)</f>
        <v>bộ</v>
      </c>
      <c r="H415" s="1690">
        <f t="shared" si="75"/>
        <v>0</v>
      </c>
      <c r="I415" s="1690">
        <f t="shared" si="75"/>
        <v>0</v>
      </c>
      <c r="J415" s="1690">
        <f t="shared" si="75"/>
        <v>0</v>
      </c>
      <c r="K415" s="1690">
        <f t="shared" si="75"/>
        <v>0</v>
      </c>
      <c r="L415" s="1690">
        <f t="shared" si="75"/>
        <v>0</v>
      </c>
      <c r="M415" s="1690">
        <f t="shared" si="75"/>
        <v>0</v>
      </c>
      <c r="N415" s="1690">
        <f t="shared" si="75"/>
        <v>0</v>
      </c>
      <c r="O415" s="1690"/>
      <c r="P415" s="1690"/>
      <c r="Q415" s="984"/>
      <c r="R415" s="984"/>
      <c r="S415" s="984"/>
      <c r="T415" s="1858">
        <f t="shared" si="71"/>
        <v>0</v>
      </c>
    </row>
    <row r="416" spans="1:20" ht="22.2" hidden="1" customHeight="1">
      <c r="A416" s="1444">
        <f>COUNTIF($C$12:C416,"x")</f>
        <v>29</v>
      </c>
      <c r="B416" s="1461" t="s">
        <v>639</v>
      </c>
      <c r="C416" s="60" t="str">
        <f t="shared" si="72"/>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1"/>
        <v>0</v>
      </c>
    </row>
    <row r="417" spans="1:21" ht="22.2" hidden="1" customHeight="1">
      <c r="A417" s="1444">
        <f>COUNTIF($C$12:C417,"x")</f>
        <v>29</v>
      </c>
      <c r="B417" s="1461" t="s">
        <v>21</v>
      </c>
      <c r="C417" s="60" t="str">
        <f t="shared" si="72"/>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1"/>
        <v>0</v>
      </c>
    </row>
    <row r="418" spans="1:21" ht="22.2" hidden="1" customHeight="1">
      <c r="A418" s="1444">
        <f>COUNTIF($C$12:C418,"x")</f>
        <v>29</v>
      </c>
      <c r="B418" s="1461" t="s">
        <v>637</v>
      </c>
      <c r="C418" s="60" t="str">
        <f t="shared" si="72"/>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1"/>
        <v>0</v>
      </c>
    </row>
    <row r="419" spans="1:21" ht="22.2" hidden="1" customHeight="1">
      <c r="A419" s="1444">
        <f>COUNTIF($C$12:C419,"x")</f>
        <v>29</v>
      </c>
      <c r="B419" s="1449" t="s">
        <v>2063</v>
      </c>
      <c r="C419" s="60" t="str">
        <f t="shared" si="72"/>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1"/>
        <v>0</v>
      </c>
    </row>
    <row r="420" spans="1:21" ht="22.2" hidden="1" customHeight="1">
      <c r="A420" s="1444">
        <f>COUNTIF($C$12:C420,"x")</f>
        <v>29</v>
      </c>
      <c r="B420" s="1449" t="s">
        <v>635</v>
      </c>
      <c r="C420" s="60" t="str">
        <f t="shared" si="72"/>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1"/>
        <v>0</v>
      </c>
    </row>
    <row r="421" spans="1:21" ht="22.2" hidden="1" customHeight="1">
      <c r="A421" s="1444">
        <f>COUNTIF($C$12:C421,"x")</f>
        <v>29</v>
      </c>
      <c r="B421" s="1448" t="s">
        <v>750</v>
      </c>
      <c r="C421" s="59" t="str">
        <f t="shared" si="72"/>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2" hidden="1" customHeight="1">
      <c r="A422" s="1444">
        <f>COUNTIF($C$12:C422,"x")</f>
        <v>29</v>
      </c>
      <c r="B422" s="1461" t="s">
        <v>1575</v>
      </c>
      <c r="C422" s="60" t="str">
        <f t="shared" si="72"/>
        <v xml:space="preserve"> </v>
      </c>
      <c r="D422" s="1414">
        <v>1</v>
      </c>
      <c r="E422" s="980" t="str">
        <f>VLOOKUP($B422,DG!A:D,DG!$B$2,)</f>
        <v>04.3801</v>
      </c>
      <c r="F422" s="986" t="str">
        <f>VLOOKUP($B422,DG!A:D,DG!$C$2,)</f>
        <v>Đà cản BTCT 1,5m</v>
      </c>
      <c r="G422" s="980" t="str">
        <f>VLOOKUP($B422,DG!A:D,DG!$D$2,)</f>
        <v>cái</v>
      </c>
      <c r="H422" s="1690">
        <f t="shared" ref="H422:N423" si="76">H$421*$D422</f>
        <v>0</v>
      </c>
      <c r="I422" s="1690">
        <f t="shared" si="76"/>
        <v>0</v>
      </c>
      <c r="J422" s="1690">
        <f t="shared" si="76"/>
        <v>0</v>
      </c>
      <c r="K422" s="1690">
        <f t="shared" si="76"/>
        <v>0</v>
      </c>
      <c r="L422" s="1690">
        <f t="shared" si="76"/>
        <v>0</v>
      </c>
      <c r="M422" s="1690">
        <f t="shared" si="76"/>
        <v>0</v>
      </c>
      <c r="N422" s="1690">
        <f t="shared" si="76"/>
        <v>0</v>
      </c>
      <c r="O422" s="1690"/>
      <c r="P422" s="1690"/>
      <c r="Q422" s="984"/>
      <c r="R422" s="984"/>
      <c r="S422" s="984"/>
      <c r="T422" s="1858">
        <f t="shared" si="71"/>
        <v>0</v>
      </c>
    </row>
    <row r="423" spans="1:21" ht="22.2" hidden="1" customHeight="1">
      <c r="A423" s="1444">
        <f>COUNTIF($C$12:C423,"x")</f>
        <v>29</v>
      </c>
      <c r="B423" s="1461" t="s">
        <v>566</v>
      </c>
      <c r="C423" s="60" t="str">
        <f t="shared" si="72"/>
        <v xml:space="preserve"> </v>
      </c>
      <c r="D423" s="1414">
        <v>1</v>
      </c>
      <c r="E423" s="980"/>
      <c r="F423" s="986" t="str">
        <f>VLOOKUP($B423,DG!A:D,DG!$C$2,)</f>
        <v>Boulon 22x650+ 2 long đền vuông D24-50x50x3/Zn</v>
      </c>
      <c r="G423" s="980" t="str">
        <f>VLOOKUP($B423,DG!A:D,DG!$D$2,)</f>
        <v>bộ</v>
      </c>
      <c r="H423" s="1690">
        <f t="shared" si="76"/>
        <v>0</v>
      </c>
      <c r="I423" s="1690">
        <f t="shared" si="76"/>
        <v>0</v>
      </c>
      <c r="J423" s="1690">
        <f t="shared" si="76"/>
        <v>0</v>
      </c>
      <c r="K423" s="1690">
        <f t="shared" si="76"/>
        <v>0</v>
      </c>
      <c r="L423" s="1690">
        <f t="shared" si="76"/>
        <v>0</v>
      </c>
      <c r="M423" s="1690">
        <f t="shared" si="76"/>
        <v>0</v>
      </c>
      <c r="N423" s="1690">
        <f t="shared" si="76"/>
        <v>0</v>
      </c>
      <c r="O423" s="1690"/>
      <c r="P423" s="1690"/>
      <c r="Q423" s="984"/>
      <c r="R423" s="984"/>
      <c r="S423" s="984"/>
      <c r="T423" s="1858">
        <f t="shared" si="71"/>
        <v>0</v>
      </c>
    </row>
    <row r="424" spans="1:21" ht="22.2" hidden="1" customHeight="1">
      <c r="A424" s="1444">
        <f>COUNTIF($C$12:C424,"x")</f>
        <v>29</v>
      </c>
      <c r="B424" s="1451" t="s">
        <v>1812</v>
      </c>
      <c r="C424" s="60" t="str">
        <f t="shared" si="72"/>
        <v xml:space="preserve"> </v>
      </c>
      <c r="D424" s="1409">
        <v>0.42099999999999999</v>
      </c>
      <c r="E424" s="976">
        <f>VLOOKUP($B424,DG!A:D,DG!$B$2,)</f>
        <v>0</v>
      </c>
      <c r="F424" s="981" t="str">
        <f>VLOOKUP($B424,DG!A:D,DG!$C$2,)</f>
        <v>Đá 2x4</v>
      </c>
      <c r="G424" s="976" t="str">
        <f>VLOOKUP($B424,DG!A:D,DG!$D$2,)</f>
        <v>m3</v>
      </c>
      <c r="H424" s="1689">
        <f t="shared" ref="H424:N424" si="77">H$18*$D424</f>
        <v>0</v>
      </c>
      <c r="I424" s="1689">
        <f t="shared" si="77"/>
        <v>0</v>
      </c>
      <c r="J424" s="1689">
        <f t="shared" si="77"/>
        <v>0</v>
      </c>
      <c r="K424" s="1689">
        <f t="shared" si="77"/>
        <v>0</v>
      </c>
      <c r="L424" s="1689">
        <f t="shared" si="77"/>
        <v>0</v>
      </c>
      <c r="M424" s="1689">
        <f t="shared" si="77"/>
        <v>0</v>
      </c>
      <c r="N424" s="1689">
        <f t="shared" si="77"/>
        <v>0</v>
      </c>
      <c r="O424" s="1689"/>
      <c r="P424" s="1689"/>
      <c r="Q424" s="985"/>
      <c r="R424" s="985"/>
      <c r="S424" s="985"/>
      <c r="T424" s="1858">
        <f t="shared" si="71"/>
        <v>0</v>
      </c>
    </row>
    <row r="425" spans="1:21" ht="22.2" hidden="1" customHeight="1">
      <c r="A425" s="1444">
        <f>COUNTIF($C$12:C425,"x")</f>
        <v>29</v>
      </c>
      <c r="B425" s="1461" t="s">
        <v>639</v>
      </c>
      <c r="C425" s="60" t="str">
        <f t="shared" si="72"/>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1"/>
        <v>0</v>
      </c>
    </row>
    <row r="426" spans="1:21" ht="22.2" hidden="1" customHeight="1">
      <c r="A426" s="1444">
        <f>COUNTIF($C$12:C426,"x")</f>
        <v>29</v>
      </c>
      <c r="B426" s="1461" t="s">
        <v>21</v>
      </c>
      <c r="C426" s="60" t="str">
        <f t="shared" si="72"/>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1"/>
        <v>0</v>
      </c>
    </row>
    <row r="427" spans="1:21" ht="22.2" hidden="1" customHeight="1">
      <c r="A427" s="1444">
        <f>COUNTIF($C$12:C427,"x")</f>
        <v>29</v>
      </c>
      <c r="B427" s="1461" t="s">
        <v>637</v>
      </c>
      <c r="C427" s="60" t="str">
        <f t="shared" si="72"/>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1"/>
        <v>0</v>
      </c>
    </row>
    <row r="428" spans="1:21" ht="22.2" hidden="1" customHeight="1">
      <c r="A428" s="1444">
        <f>COUNTIF($C$12:C428,"x")</f>
        <v>29</v>
      </c>
      <c r="B428" s="1449" t="s">
        <v>2063</v>
      </c>
      <c r="C428" s="60" t="str">
        <f t="shared" si="72"/>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1"/>
        <v>0</v>
      </c>
    </row>
    <row r="429" spans="1:21" ht="22.2" hidden="1" customHeight="1">
      <c r="A429" s="1444">
        <f>COUNTIF($C$12:C429,"x")</f>
        <v>29</v>
      </c>
      <c r="B429" s="1460" t="s">
        <v>674</v>
      </c>
      <c r="C429" s="60" t="str">
        <f t="shared" si="72"/>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1"/>
        <v>0</v>
      </c>
    </row>
    <row r="430" spans="1:21" ht="22.2" hidden="1" customHeight="1">
      <c r="A430" s="1444">
        <f>COUNTIF($C$12:C430,"x")</f>
        <v>29</v>
      </c>
      <c r="B430" s="1449" t="s">
        <v>635</v>
      </c>
      <c r="C430" s="60" t="str">
        <f t="shared" si="72"/>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1"/>
        <v>0</v>
      </c>
    </row>
    <row r="431" spans="1:21" ht="22.2" hidden="1" customHeight="1">
      <c r="A431" s="1444">
        <f>COUNTIF($C$12:C431,"x")</f>
        <v>29</v>
      </c>
      <c r="B431" s="1448" t="s">
        <v>2307</v>
      </c>
      <c r="C431" s="59" t="str">
        <f t="shared" si="72"/>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2" hidden="1" customHeight="1">
      <c r="A432" s="1444">
        <f>COUNTIF($C$12:C432,"x")</f>
        <v>29</v>
      </c>
      <c r="B432" s="1449" t="s">
        <v>751</v>
      </c>
      <c r="C432" s="60" t="str">
        <f t="shared" si="72"/>
        <v xml:space="preserve"> </v>
      </c>
      <c r="D432" s="1415">
        <v>268.94</v>
      </c>
      <c r="E432" s="980">
        <f>VLOOKUP($B432,DG!A:D,DG!$B$2,)</f>
        <v>0</v>
      </c>
      <c r="F432" s="981" t="str">
        <f>VLOOKUP($B432,DG!A:D,DG!$C$2,)</f>
        <v>Ximăng (PC40)</v>
      </c>
      <c r="G432" s="980" t="str">
        <f>VLOOKUP($B432,DG!A:D,DG!$D$2,)</f>
        <v>kg</v>
      </c>
      <c r="H432" s="1690">
        <f>H$431*$D432</f>
        <v>0</v>
      </c>
      <c r="I432" s="1690">
        <f t="shared" ref="I432:R434" si="78">I$431*$D432</f>
        <v>0</v>
      </c>
      <c r="J432" s="1690">
        <f t="shared" si="78"/>
        <v>0</v>
      </c>
      <c r="K432" s="1690">
        <f t="shared" si="78"/>
        <v>0</v>
      </c>
      <c r="L432" s="1690">
        <f t="shared" si="78"/>
        <v>0</v>
      </c>
      <c r="M432" s="1690">
        <f t="shared" si="78"/>
        <v>0</v>
      </c>
      <c r="N432" s="1690">
        <f t="shared" si="78"/>
        <v>0</v>
      </c>
      <c r="O432" s="1690">
        <f t="shared" si="78"/>
        <v>0</v>
      </c>
      <c r="P432" s="1690">
        <f t="shared" si="78"/>
        <v>0</v>
      </c>
      <c r="Q432" s="1690">
        <f t="shared" si="78"/>
        <v>0</v>
      </c>
      <c r="R432" s="1690">
        <f t="shared" si="78"/>
        <v>0</v>
      </c>
      <c r="S432" s="984"/>
      <c r="T432" s="1858">
        <f t="shared" si="71"/>
        <v>0</v>
      </c>
      <c r="U432" s="1415">
        <v>336</v>
      </c>
    </row>
    <row r="433" spans="1:21" ht="22.2" hidden="1" customHeight="1">
      <c r="A433" s="1444">
        <f>COUNTIF($C$12:C433,"x")</f>
        <v>29</v>
      </c>
      <c r="B433" s="1450" t="s">
        <v>4412</v>
      </c>
      <c r="C433" s="60" t="str">
        <f t="shared" si="72"/>
        <v xml:space="preserve"> </v>
      </c>
      <c r="D433" s="1412">
        <v>0.63100000000000001</v>
      </c>
      <c r="E433" s="980">
        <f>VLOOKUP($B433,DG!A:D,DG!$B$2,)</f>
        <v>0</v>
      </c>
      <c r="F433" s="981" t="str">
        <f>VLOOKUP($B433,DG!A:D,DG!$C$2,)</f>
        <v>Cát vàng</v>
      </c>
      <c r="G433" s="980" t="str">
        <f>VLOOKUP($B433,DG!A:D,DG!$D$2,)</f>
        <v>m3</v>
      </c>
      <c r="H433" s="1690">
        <f t="shared" ref="H433:H434" si="79">H$431*$D433</f>
        <v>0</v>
      </c>
      <c r="I433" s="1690">
        <f t="shared" ref="I433:O436" si="80">I$431*$D433</f>
        <v>0</v>
      </c>
      <c r="J433" s="1690">
        <f t="shared" si="80"/>
        <v>0</v>
      </c>
      <c r="K433" s="1690">
        <f t="shared" si="80"/>
        <v>0</v>
      </c>
      <c r="L433" s="1690">
        <f t="shared" si="80"/>
        <v>0</v>
      </c>
      <c r="M433" s="1690">
        <f t="shared" si="80"/>
        <v>0</v>
      </c>
      <c r="N433" s="1690">
        <f t="shared" si="80"/>
        <v>0</v>
      </c>
      <c r="O433" s="1690">
        <f t="shared" si="80"/>
        <v>0</v>
      </c>
      <c r="P433" s="1690">
        <f t="shared" si="78"/>
        <v>0</v>
      </c>
      <c r="Q433" s="1690">
        <f t="shared" si="78"/>
        <v>0</v>
      </c>
      <c r="R433" s="1690">
        <f t="shared" si="78"/>
        <v>0</v>
      </c>
      <c r="S433" s="982"/>
      <c r="T433" s="1858">
        <f t="shared" si="71"/>
        <v>0</v>
      </c>
      <c r="U433" s="1412">
        <v>0.53900000000000003</v>
      </c>
    </row>
    <row r="434" spans="1:21" ht="22.2" hidden="1" customHeight="1">
      <c r="A434" s="1444">
        <f>COUNTIF($C$12:C434,"x")</f>
        <v>29</v>
      </c>
      <c r="B434" s="1449" t="s">
        <v>867</v>
      </c>
      <c r="C434" s="60" t="str">
        <f t="shared" si="72"/>
        <v xml:space="preserve"> </v>
      </c>
      <c r="D434" s="1412">
        <v>1.04</v>
      </c>
      <c r="E434" s="980">
        <f>VLOOKUP($B434,DG!A:D,DG!$B$2,)</f>
        <v>0</v>
      </c>
      <c r="F434" s="981" t="str">
        <f>VLOOKUP($B434,DG!A:D,DG!$C$2,)</f>
        <v>Đá 1x2</v>
      </c>
      <c r="G434" s="980" t="str">
        <f>VLOOKUP($B434,DG!A:D,DG!$D$2,)</f>
        <v>m3</v>
      </c>
      <c r="H434" s="1690">
        <f t="shared" si="79"/>
        <v>0</v>
      </c>
      <c r="I434" s="1690">
        <f t="shared" si="80"/>
        <v>0</v>
      </c>
      <c r="J434" s="1690">
        <f t="shared" si="80"/>
        <v>0</v>
      </c>
      <c r="K434" s="1690">
        <f t="shared" si="80"/>
        <v>0</v>
      </c>
      <c r="L434" s="1690">
        <f t="shared" si="80"/>
        <v>0</v>
      </c>
      <c r="M434" s="1690">
        <f t="shared" si="80"/>
        <v>0</v>
      </c>
      <c r="N434" s="1690">
        <f t="shared" si="80"/>
        <v>0</v>
      </c>
      <c r="O434" s="1690">
        <f t="shared" si="80"/>
        <v>0</v>
      </c>
      <c r="P434" s="1690">
        <f t="shared" si="78"/>
        <v>0</v>
      </c>
      <c r="Q434" s="1690">
        <f t="shared" si="78"/>
        <v>0</v>
      </c>
      <c r="R434" s="1690">
        <f t="shared" si="78"/>
        <v>0</v>
      </c>
      <c r="S434" s="982"/>
      <c r="T434" s="1858">
        <f t="shared" si="71"/>
        <v>0</v>
      </c>
      <c r="U434" s="1412">
        <v>0.999</v>
      </c>
    </row>
    <row r="435" spans="1:21" ht="22.2" hidden="1" customHeight="1">
      <c r="A435" s="1444">
        <f>COUNTIF($C$12:C435,"x")</f>
        <v>29</v>
      </c>
      <c r="B435" s="1449" t="s">
        <v>995</v>
      </c>
      <c r="C435" s="60" t="str">
        <f t="shared" si="72"/>
        <v xml:space="preserve"> </v>
      </c>
      <c r="D435" s="1412">
        <v>31.1</v>
      </c>
      <c r="E435" s="980">
        <f>VLOOKUP($B435,DG!A:D,DG!$B$2,)</f>
        <v>0</v>
      </c>
      <c r="F435" s="986" t="str">
        <f>VLOOKUP($B435,DG!A:D,DG!$C$2,)</f>
        <v>Sắt Ø10</v>
      </c>
      <c r="G435" s="980" t="str">
        <f>VLOOKUP($B435,DG!A:D,DG!$D$2,)</f>
        <v>kg</v>
      </c>
      <c r="H435" s="1690"/>
      <c r="I435" s="1690">
        <f t="shared" si="80"/>
        <v>0</v>
      </c>
      <c r="J435" s="1690">
        <f t="shared" si="80"/>
        <v>0</v>
      </c>
      <c r="K435" s="1690">
        <f t="shared" si="80"/>
        <v>0</v>
      </c>
      <c r="L435" s="1690">
        <f t="shared" si="80"/>
        <v>0</v>
      </c>
      <c r="M435" s="1690">
        <f t="shared" si="80"/>
        <v>0</v>
      </c>
      <c r="N435" s="1690">
        <f t="shared" si="80"/>
        <v>0</v>
      </c>
      <c r="O435" s="1690">
        <f t="shared" si="80"/>
        <v>0</v>
      </c>
      <c r="P435" s="1690"/>
      <c r="Q435" s="982"/>
      <c r="R435" s="982"/>
      <c r="S435" s="982"/>
      <c r="T435" s="1858">
        <f t="shared" si="71"/>
        <v>0</v>
      </c>
      <c r="U435" s="1412">
        <v>31.1</v>
      </c>
    </row>
    <row r="436" spans="1:21" ht="22.2" hidden="1" customHeight="1">
      <c r="A436" s="1444">
        <f>COUNTIF($C$12:C436,"x")</f>
        <v>29</v>
      </c>
      <c r="B436" s="1449" t="s">
        <v>996</v>
      </c>
      <c r="C436" s="60" t="str">
        <f t="shared" si="72"/>
        <v xml:space="preserve"> </v>
      </c>
      <c r="D436" s="1412">
        <v>0.67</v>
      </c>
      <c r="E436" s="980">
        <f>VLOOKUP($B436,DG!A:D,DG!$B$2,)</f>
        <v>0</v>
      </c>
      <c r="F436" s="986" t="str">
        <f>VLOOKUP($B436,DG!A:D,DG!$C$2,)</f>
        <v>Kẽm</v>
      </c>
      <c r="G436" s="980" t="str">
        <f>VLOOKUP($B436,DG!A:D,DG!$D$2,)</f>
        <v>kg</v>
      </c>
      <c r="H436" s="1690"/>
      <c r="I436" s="1690">
        <f t="shared" si="80"/>
        <v>0</v>
      </c>
      <c r="J436" s="1690">
        <f t="shared" si="80"/>
        <v>0</v>
      </c>
      <c r="K436" s="1690">
        <f t="shared" si="80"/>
        <v>0</v>
      </c>
      <c r="L436" s="1690">
        <f t="shared" si="80"/>
        <v>0</v>
      </c>
      <c r="M436" s="1690">
        <f t="shared" si="80"/>
        <v>0</v>
      </c>
      <c r="N436" s="1690">
        <f t="shared" si="80"/>
        <v>0</v>
      </c>
      <c r="O436" s="1690">
        <f t="shared" si="80"/>
        <v>0</v>
      </c>
      <c r="P436" s="1690"/>
      <c r="Q436" s="982"/>
      <c r="R436" s="982"/>
      <c r="S436" s="982"/>
      <c r="T436" s="1858">
        <f t="shared" si="71"/>
        <v>0</v>
      </c>
      <c r="U436" s="1412">
        <v>0.67</v>
      </c>
    </row>
    <row r="437" spans="1:21" ht="22.2" hidden="1" customHeight="1">
      <c r="A437" s="1444">
        <f>COUNTIF($C$12:C437,"x")</f>
        <v>29</v>
      </c>
      <c r="B437" s="1449" t="s">
        <v>639</v>
      </c>
      <c r="C437" s="60" t="str">
        <f t="shared" si="72"/>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1"/>
        <v>0</v>
      </c>
      <c r="U437" s="1412">
        <v>1.36</v>
      </c>
    </row>
    <row r="438" spans="1:21" ht="22.2" hidden="1" customHeight="1">
      <c r="A438" s="1444">
        <f>COUNTIF($C$12:C438,"x")</f>
        <v>29</v>
      </c>
      <c r="B438" s="1449" t="s">
        <v>21</v>
      </c>
      <c r="C438" s="60" t="str">
        <f t="shared" si="72"/>
        <v xml:space="preserve"> </v>
      </c>
      <c r="D438" s="1412">
        <v>0</v>
      </c>
      <c r="E438" s="980" t="str">
        <f>VLOOKUP($B438,DG!A:D,DG!$B$2,)</f>
        <v>03.4113</v>
      </c>
      <c r="F438" s="981" t="str">
        <f>VLOOKUP($B438,DG!A:D,DG!$C$2,)</f>
        <v>Đắp đất hố móng, độ chặt k=0,95</v>
      </c>
      <c r="G438" s="980" t="str">
        <f>VLOOKUP($B438,DG!A:D,DG!$D$2,)</f>
        <v>m3</v>
      </c>
      <c r="H438" s="1690">
        <f t="shared" ref="H438:H445" si="81">$H$431*$D438</f>
        <v>0</v>
      </c>
      <c r="I438" s="1690"/>
      <c r="J438" s="1690"/>
      <c r="K438" s="1690"/>
      <c r="L438" s="1690"/>
      <c r="M438" s="1690"/>
      <c r="N438" s="1690"/>
      <c r="O438" s="1690"/>
      <c r="P438" s="1690"/>
      <c r="Q438" s="987"/>
      <c r="R438" s="987"/>
      <c r="S438" s="987"/>
      <c r="T438" s="1858">
        <f t="shared" si="71"/>
        <v>0</v>
      </c>
      <c r="U438" s="1412">
        <v>0</v>
      </c>
    </row>
    <row r="439" spans="1:21" ht="22.2" hidden="1" customHeight="1">
      <c r="A439" s="1444">
        <f>COUNTIF($C$12:C439,"x")</f>
        <v>29</v>
      </c>
      <c r="B439" s="1449" t="s">
        <v>1293</v>
      </c>
      <c r="C439" s="60" t="str">
        <f t="shared" si="72"/>
        <v xml:space="preserve"> </v>
      </c>
      <c r="D439" s="1412"/>
      <c r="E439" s="980" t="str">
        <f>VLOOKUP($B439,DG!A:D,DG!$B$2,)</f>
        <v>02.1101</v>
      </c>
      <c r="F439" s="981" t="str">
        <f>VLOOKUP($B439,DG!A:D,DG!$C$2,)</f>
        <v>Bốc dỡ xi măng</v>
      </c>
      <c r="G439" s="980" t="str">
        <f>VLOOKUP($B439,DG!A:D,DG!$D$2,)</f>
        <v>tấn</v>
      </c>
      <c r="H439" s="1690">
        <f t="shared" si="81"/>
        <v>0</v>
      </c>
      <c r="I439" s="1690"/>
      <c r="J439" s="1690"/>
      <c r="K439" s="1690"/>
      <c r="L439" s="1690"/>
      <c r="M439" s="1690"/>
      <c r="N439" s="1690"/>
      <c r="O439" s="1690"/>
      <c r="P439" s="1690"/>
      <c r="Q439" s="987"/>
      <c r="R439" s="987"/>
      <c r="S439" s="987"/>
      <c r="T439" s="1858">
        <f t="shared" si="71"/>
        <v>0</v>
      </c>
      <c r="U439" s="1412"/>
    </row>
    <row r="440" spans="1:21" ht="22.2" hidden="1" customHeight="1">
      <c r="A440" s="1444">
        <f>COUNTIF($C$12:C440,"x")</f>
        <v>29</v>
      </c>
      <c r="B440" s="1449" t="s">
        <v>133</v>
      </c>
      <c r="C440" s="60" t="str">
        <f t="shared" si="72"/>
        <v xml:space="preserve"> </v>
      </c>
      <c r="D440" s="1412"/>
      <c r="E440" s="980" t="str">
        <f>VLOOKUP($B440,DG!A:D,DG!$B$2,)</f>
        <v>02.1103</v>
      </c>
      <c r="F440" s="981" t="str">
        <f>VLOOKUP($B440,DG!A:D,DG!$C$2,)</f>
        <v>Bốc dỡ cát</v>
      </c>
      <c r="G440" s="980" t="str">
        <f>VLOOKUP($B440,DG!A:D,DG!$D$2,)</f>
        <v>m3</v>
      </c>
      <c r="H440" s="1690">
        <f t="shared" si="81"/>
        <v>0</v>
      </c>
      <c r="I440" s="1690"/>
      <c r="J440" s="1690"/>
      <c r="K440" s="1690"/>
      <c r="L440" s="1690"/>
      <c r="M440" s="1690"/>
      <c r="N440" s="1690"/>
      <c r="O440" s="1690"/>
      <c r="P440" s="1690"/>
      <c r="Q440" s="987"/>
      <c r="R440" s="987"/>
      <c r="S440" s="987"/>
      <c r="T440" s="1858">
        <f t="shared" si="71"/>
        <v>0</v>
      </c>
      <c r="U440" s="1412"/>
    </row>
    <row r="441" spans="1:21" ht="22.2" hidden="1" customHeight="1">
      <c r="A441" s="1444">
        <f>COUNTIF($C$12:C441,"x")</f>
        <v>29</v>
      </c>
      <c r="B441" s="1449" t="s">
        <v>135</v>
      </c>
      <c r="C441" s="60" t="str">
        <f t="shared" si="72"/>
        <v xml:space="preserve"> </v>
      </c>
      <c r="D441" s="1412"/>
      <c r="E441" s="980" t="str">
        <f>VLOOKUP($B441,DG!A:D,DG!$B$2,)</f>
        <v>02.1104</v>
      </c>
      <c r="F441" s="981" t="str">
        <f>VLOOKUP($B441,DG!A:D,DG!$C$2,)</f>
        <v>Bốc dỡ đá dăm</v>
      </c>
      <c r="G441" s="980" t="str">
        <f>VLOOKUP($B441,DG!A:D,DG!$D$2,)</f>
        <v>m3</v>
      </c>
      <c r="H441" s="1690">
        <f t="shared" si="81"/>
        <v>0</v>
      </c>
      <c r="I441" s="1690"/>
      <c r="J441" s="1690"/>
      <c r="K441" s="1690"/>
      <c r="L441" s="1690"/>
      <c r="M441" s="1690"/>
      <c r="N441" s="1690"/>
      <c r="O441" s="1690"/>
      <c r="P441" s="1690"/>
      <c r="Q441" s="987"/>
      <c r="R441" s="987"/>
      <c r="S441" s="987"/>
      <c r="T441" s="1858">
        <f t="shared" si="71"/>
        <v>0</v>
      </c>
      <c r="U441" s="1412"/>
    </row>
    <row r="442" spans="1:21" ht="22.2" hidden="1" customHeight="1">
      <c r="A442" s="1444">
        <f>COUNTIF($C$12:C442,"x")</f>
        <v>29</v>
      </c>
      <c r="B442" s="1449" t="s">
        <v>495</v>
      </c>
      <c r="C442" s="60" t="str">
        <f t="shared" si="72"/>
        <v xml:space="preserve"> </v>
      </c>
      <c r="D442" s="1412"/>
      <c r="E442" s="980" t="str">
        <f>VLOOKUP($B442,DG!A:D,DG!$B$2,)</f>
        <v>02.1211</v>
      </c>
      <c r="F442" s="981" t="str">
        <f>VLOOKUP($B442,DG!A:D,DG!$C$2,)</f>
        <v>V/c xi măng ( cự ly &lt;=100m)</v>
      </c>
      <c r="G442" s="980" t="str">
        <f>VLOOKUP($B442,DG!A:D,DG!$D$2,)</f>
        <v>tấn</v>
      </c>
      <c r="H442" s="1690">
        <f t="shared" si="81"/>
        <v>0</v>
      </c>
      <c r="I442" s="1690"/>
      <c r="J442" s="1690"/>
      <c r="K442" s="1690"/>
      <c r="L442" s="1690"/>
      <c r="M442" s="1690"/>
      <c r="N442" s="1690"/>
      <c r="O442" s="1690"/>
      <c r="P442" s="1690"/>
      <c r="Q442" s="987"/>
      <c r="R442" s="987"/>
      <c r="S442" s="987"/>
      <c r="T442" s="1858">
        <f t="shared" si="71"/>
        <v>0</v>
      </c>
      <c r="U442" s="1412"/>
    </row>
    <row r="443" spans="1:21" ht="22.2" hidden="1" customHeight="1">
      <c r="A443" s="1444">
        <f>COUNTIF($C$12:C443,"x")</f>
        <v>29</v>
      </c>
      <c r="B443" s="1449" t="s">
        <v>1611</v>
      </c>
      <c r="C443" s="60" t="str">
        <f t="shared" si="72"/>
        <v xml:space="preserve"> </v>
      </c>
      <c r="D443" s="1412"/>
      <c r="E443" s="980" t="str">
        <f>VLOOKUP($B443,DG!A:D,DG!$B$2,)</f>
        <v>02.1231</v>
      </c>
      <c r="F443" s="981" t="str">
        <f>VLOOKUP($B443,DG!A:D,DG!$C$2,)</f>
        <v>V/c cát vàng cự ly &lt;=100m</v>
      </c>
      <c r="G443" s="980" t="str">
        <f>VLOOKUP($B443,DG!A:D,DG!$D$2,)</f>
        <v>m3</v>
      </c>
      <c r="H443" s="1690">
        <f t="shared" si="81"/>
        <v>0</v>
      </c>
      <c r="I443" s="1690"/>
      <c r="J443" s="1690"/>
      <c r="K443" s="1690"/>
      <c r="L443" s="1690"/>
      <c r="M443" s="1690"/>
      <c r="N443" s="1690"/>
      <c r="O443" s="1690"/>
      <c r="P443" s="1690"/>
      <c r="Q443" s="987"/>
      <c r="R443" s="987"/>
      <c r="S443" s="987"/>
      <c r="T443" s="1858">
        <f t="shared" si="71"/>
        <v>0</v>
      </c>
      <c r="U443" s="1412"/>
    </row>
    <row r="444" spans="1:21" ht="22.2" hidden="1" customHeight="1">
      <c r="A444" s="1444">
        <f>COUNTIF($C$12:C444,"x")</f>
        <v>29</v>
      </c>
      <c r="B444" s="1449" t="s">
        <v>521</v>
      </c>
      <c r="C444" s="60" t="str">
        <f t="shared" si="72"/>
        <v xml:space="preserve"> </v>
      </c>
      <c r="D444" s="1412"/>
      <c r="E444" s="980" t="str">
        <f>VLOOKUP($B444,DG!A:D,DG!$B$2,)</f>
        <v>02.1241</v>
      </c>
      <c r="F444" s="981" t="str">
        <f>VLOOKUP($B444,DG!A:D,DG!$C$2,)</f>
        <v>V/c đá dăm ( cự ly &lt;=100m)</v>
      </c>
      <c r="G444" s="980" t="str">
        <f>VLOOKUP($B444,DG!A:D,DG!$D$2,)</f>
        <v>m3</v>
      </c>
      <c r="H444" s="1690">
        <f t="shared" si="81"/>
        <v>0</v>
      </c>
      <c r="I444" s="1690"/>
      <c r="J444" s="1690"/>
      <c r="K444" s="1690"/>
      <c r="L444" s="1690"/>
      <c r="M444" s="1690"/>
      <c r="N444" s="1690"/>
      <c r="O444" s="1690"/>
      <c r="P444" s="1690"/>
      <c r="Q444" s="987"/>
      <c r="R444" s="987"/>
      <c r="S444" s="987"/>
      <c r="T444" s="1858">
        <f t="shared" si="71"/>
        <v>0</v>
      </c>
      <c r="U444" s="1412"/>
    </row>
    <row r="445" spans="1:21" ht="22.2" hidden="1" customHeight="1">
      <c r="A445" s="1444">
        <f>COUNTIF($C$12:C445,"x")</f>
        <v>29</v>
      </c>
      <c r="B445" s="1449" t="s">
        <v>1981</v>
      </c>
      <c r="C445" s="60" t="str">
        <f t="shared" si="72"/>
        <v xml:space="preserve"> </v>
      </c>
      <c r="D445" s="1412"/>
      <c r="E445" s="980" t="str">
        <f>VLOOKUP($B445,DG!A:D,DG!$B$2,)</f>
        <v>02.1482</v>
      </c>
      <c r="F445" s="981" t="str">
        <f>VLOOKUP($B445,DG!A:D,DG!$C$2,)</f>
        <v>V/c dụng cụ thi công ( cự ly &lt;=100m)</v>
      </c>
      <c r="G445" s="980" t="str">
        <f>VLOOKUP($B445,DG!A:D,DG!$D$2,)</f>
        <v>tấn</v>
      </c>
      <c r="H445" s="1690">
        <f t="shared" si="81"/>
        <v>0</v>
      </c>
      <c r="I445" s="1690"/>
      <c r="J445" s="1690"/>
      <c r="K445" s="1690"/>
      <c r="L445" s="1690"/>
      <c r="M445" s="1690"/>
      <c r="N445" s="1690"/>
      <c r="O445" s="1690"/>
      <c r="P445" s="1690"/>
      <c r="Q445" s="987"/>
      <c r="R445" s="987"/>
      <c r="S445" s="987"/>
      <c r="T445" s="1858">
        <f t="shared" si="71"/>
        <v>0</v>
      </c>
      <c r="U445" s="1412"/>
    </row>
    <row r="446" spans="1:21" ht="22.2" hidden="1" customHeight="1">
      <c r="A446" s="1444">
        <f>COUNTIF($C$12:C446,"x")</f>
        <v>29</v>
      </c>
      <c r="B446" s="1449" t="s">
        <v>997</v>
      </c>
      <c r="C446" s="60" t="str">
        <f t="shared" si="72"/>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1"/>
        <v>0</v>
      </c>
      <c r="U446" s="1412">
        <f>U435</f>
        <v>31.1</v>
      </c>
    </row>
    <row r="447" spans="1:21" ht="22.2" hidden="1" customHeight="1">
      <c r="A447" s="1444">
        <f>COUNTIF($C$12:C447,"x")</f>
        <v>29</v>
      </c>
      <c r="B447" s="1449" t="s">
        <v>1835</v>
      </c>
      <c r="C447" s="60" t="str">
        <f t="shared" si="72"/>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1"/>
        <v>0</v>
      </c>
      <c r="U447" s="1412">
        <v>1.1339999999999999</v>
      </c>
    </row>
    <row r="448" spans="1:21" ht="22.2" hidden="1" customHeight="1">
      <c r="A448" s="1444">
        <f>COUNTIF($C$12:C448,"x")</f>
        <v>29</v>
      </c>
      <c r="B448" s="1448" t="s">
        <v>6516</v>
      </c>
      <c r="C448" s="59" t="str">
        <f t="shared" ref="C448:C464" si="82">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2" hidden="1" customHeight="1">
      <c r="A449" s="1444">
        <f>COUNTIF($C$12:C449,"x")</f>
        <v>29</v>
      </c>
      <c r="B449" s="1449" t="s">
        <v>751</v>
      </c>
      <c r="C449" s="60" t="str">
        <f t="shared" si="82"/>
        <v xml:space="preserve"> </v>
      </c>
      <c r="D449" s="1415">
        <v>324.31</v>
      </c>
      <c r="E449" s="980">
        <f>VLOOKUP($B449,DG!A:D,DG!$B$2,)</f>
        <v>0</v>
      </c>
      <c r="F449" s="981" t="str">
        <f>VLOOKUP($B449,DG!A:D,DG!$C$2,)</f>
        <v>Ximăng (PC40)</v>
      </c>
      <c r="G449" s="980" t="str">
        <f>VLOOKUP($B449,DG!A:D,DG!$D$2,)</f>
        <v>kg</v>
      </c>
      <c r="H449" s="1690">
        <f>H$448*$D449</f>
        <v>0</v>
      </c>
      <c r="I449" s="1690">
        <f t="shared" ref="I449:R464" si="83">I$448*$D449</f>
        <v>0</v>
      </c>
      <c r="J449" s="1690">
        <f t="shared" si="83"/>
        <v>0</v>
      </c>
      <c r="K449" s="1690">
        <f t="shared" si="83"/>
        <v>0</v>
      </c>
      <c r="L449" s="1690">
        <f t="shared" si="83"/>
        <v>0</v>
      </c>
      <c r="M449" s="1690">
        <f t="shared" si="83"/>
        <v>0</v>
      </c>
      <c r="N449" s="1690">
        <f t="shared" si="83"/>
        <v>0</v>
      </c>
      <c r="O449" s="1690">
        <f t="shared" si="83"/>
        <v>0</v>
      </c>
      <c r="P449" s="1690">
        <f t="shared" si="83"/>
        <v>0</v>
      </c>
      <c r="Q449" s="1690">
        <f t="shared" si="83"/>
        <v>0</v>
      </c>
      <c r="R449" s="1690">
        <f t="shared" si="83"/>
        <v>0</v>
      </c>
      <c r="S449" s="984"/>
      <c r="T449" s="1858">
        <f t="shared" ref="T449:T464" si="84">IFERROR(HLOOKUP(B449,BangKeTru,3,0),0)</f>
        <v>0</v>
      </c>
      <c r="U449" s="1415"/>
    </row>
    <row r="450" spans="1:21" ht="22.2" hidden="1" customHeight="1">
      <c r="A450" s="1444">
        <f>COUNTIF($C$12:C450,"x")</f>
        <v>29</v>
      </c>
      <c r="B450" s="1450" t="s">
        <v>4412</v>
      </c>
      <c r="C450" s="60" t="str">
        <f t="shared" si="82"/>
        <v xml:space="preserve"> </v>
      </c>
      <c r="D450" s="1412">
        <v>0.76100000000000001</v>
      </c>
      <c r="E450" s="980">
        <f>VLOOKUP($B450,DG!A:D,DG!$B$2,)</f>
        <v>0</v>
      </c>
      <c r="F450" s="981" t="str">
        <f>VLOOKUP($B450,DG!A:D,DG!$C$2,)</f>
        <v>Cát vàng</v>
      </c>
      <c r="G450" s="980" t="str">
        <f>VLOOKUP($B450,DG!A:D,DG!$D$2,)</f>
        <v>m3</v>
      </c>
      <c r="H450" s="1690">
        <f t="shared" ref="H450:H464" si="85">H$448*$D450</f>
        <v>0</v>
      </c>
      <c r="I450" s="1690">
        <f t="shared" si="83"/>
        <v>0</v>
      </c>
      <c r="J450" s="1690">
        <f t="shared" si="83"/>
        <v>0</v>
      </c>
      <c r="K450" s="1690">
        <f t="shared" si="83"/>
        <v>0</v>
      </c>
      <c r="L450" s="1690">
        <f t="shared" si="83"/>
        <v>0</v>
      </c>
      <c r="M450" s="1690">
        <f t="shared" si="83"/>
        <v>0</v>
      </c>
      <c r="N450" s="1690">
        <f t="shared" si="83"/>
        <v>0</v>
      </c>
      <c r="O450" s="1690">
        <f t="shared" si="83"/>
        <v>0</v>
      </c>
      <c r="P450" s="1690">
        <f t="shared" si="83"/>
        <v>0</v>
      </c>
      <c r="Q450" s="1690">
        <f t="shared" si="83"/>
        <v>0</v>
      </c>
      <c r="R450" s="1690">
        <f t="shared" si="83"/>
        <v>0</v>
      </c>
      <c r="S450" s="982"/>
      <c r="T450" s="1858">
        <f t="shared" si="84"/>
        <v>0</v>
      </c>
      <c r="U450" s="1412"/>
    </row>
    <row r="451" spans="1:21" ht="22.2" hidden="1" customHeight="1">
      <c r="A451" s="1444">
        <f>COUNTIF($C$12:C451,"x")</f>
        <v>29</v>
      </c>
      <c r="B451" s="1449" t="s">
        <v>867</v>
      </c>
      <c r="C451" s="60" t="str">
        <f t="shared" si="82"/>
        <v xml:space="preserve"> </v>
      </c>
      <c r="D451" s="1412">
        <v>1.254</v>
      </c>
      <c r="E451" s="980">
        <f>VLOOKUP($B451,DG!A:D,DG!$B$2,)</f>
        <v>0</v>
      </c>
      <c r="F451" s="981" t="str">
        <f>VLOOKUP($B451,DG!A:D,DG!$C$2,)</f>
        <v>Đá 1x2</v>
      </c>
      <c r="G451" s="980" t="str">
        <f>VLOOKUP($B451,DG!A:D,DG!$D$2,)</f>
        <v>m3</v>
      </c>
      <c r="H451" s="1690">
        <f t="shared" si="85"/>
        <v>0</v>
      </c>
      <c r="I451" s="1690">
        <f t="shared" si="83"/>
        <v>0</v>
      </c>
      <c r="J451" s="1690">
        <f t="shared" si="83"/>
        <v>0</v>
      </c>
      <c r="K451" s="1690">
        <f t="shared" si="83"/>
        <v>0</v>
      </c>
      <c r="L451" s="1690">
        <f t="shared" si="83"/>
        <v>0</v>
      </c>
      <c r="M451" s="1690">
        <f t="shared" si="83"/>
        <v>0</v>
      </c>
      <c r="N451" s="1690">
        <f t="shared" si="83"/>
        <v>0</v>
      </c>
      <c r="O451" s="1690">
        <f t="shared" si="83"/>
        <v>0</v>
      </c>
      <c r="P451" s="1690">
        <f t="shared" si="83"/>
        <v>0</v>
      </c>
      <c r="Q451" s="1690">
        <f t="shared" si="83"/>
        <v>0</v>
      </c>
      <c r="R451" s="1690">
        <f t="shared" si="83"/>
        <v>0</v>
      </c>
      <c r="S451" s="982"/>
      <c r="T451" s="1858">
        <f t="shared" si="84"/>
        <v>0</v>
      </c>
      <c r="U451" s="1412"/>
    </row>
    <row r="452" spans="1:21" ht="22.2" hidden="1" customHeight="1">
      <c r="A452" s="1444">
        <f>COUNTIF($C$12:C452,"x")</f>
        <v>29</v>
      </c>
      <c r="B452" s="1449" t="s">
        <v>995</v>
      </c>
      <c r="C452" s="60" t="str">
        <f t="shared" si="82"/>
        <v xml:space="preserve"> </v>
      </c>
      <c r="D452" s="1412"/>
      <c r="E452" s="980">
        <f>VLOOKUP($B452,DG!A:D,DG!$B$2,)</f>
        <v>0</v>
      </c>
      <c r="F452" s="986" t="str">
        <f>VLOOKUP($B452,DG!A:D,DG!$C$2,)</f>
        <v>Sắt Ø10</v>
      </c>
      <c r="G452" s="980" t="str">
        <f>VLOOKUP($B452,DG!A:D,DG!$D$2,)</f>
        <v>kg</v>
      </c>
      <c r="H452" s="1690">
        <f t="shared" si="85"/>
        <v>0</v>
      </c>
      <c r="I452" s="1690">
        <f t="shared" si="83"/>
        <v>0</v>
      </c>
      <c r="J452" s="1690">
        <f t="shared" si="83"/>
        <v>0</v>
      </c>
      <c r="K452" s="1690">
        <f t="shared" si="83"/>
        <v>0</v>
      </c>
      <c r="L452" s="1690">
        <f t="shared" si="83"/>
        <v>0</v>
      </c>
      <c r="M452" s="1690">
        <f t="shared" si="83"/>
        <v>0</v>
      </c>
      <c r="N452" s="1690">
        <f t="shared" si="83"/>
        <v>0</v>
      </c>
      <c r="O452" s="1690">
        <f t="shared" si="83"/>
        <v>0</v>
      </c>
      <c r="P452" s="1690">
        <f t="shared" si="83"/>
        <v>0</v>
      </c>
      <c r="Q452" s="1690">
        <f t="shared" si="83"/>
        <v>0</v>
      </c>
      <c r="R452" s="1690">
        <f t="shared" si="83"/>
        <v>0</v>
      </c>
      <c r="S452" s="982"/>
      <c r="T452" s="1858">
        <f t="shared" si="84"/>
        <v>0</v>
      </c>
      <c r="U452" s="1412"/>
    </row>
    <row r="453" spans="1:21" ht="22.2" hidden="1" customHeight="1">
      <c r="A453" s="1444">
        <f>COUNTIF($C$12:C453,"x")</f>
        <v>29</v>
      </c>
      <c r="B453" s="1449" t="s">
        <v>996</v>
      </c>
      <c r="C453" s="60" t="str">
        <f t="shared" si="82"/>
        <v xml:space="preserve"> </v>
      </c>
      <c r="D453" s="1412"/>
      <c r="E453" s="980">
        <f>VLOOKUP($B453,DG!A:D,DG!$B$2,)</f>
        <v>0</v>
      </c>
      <c r="F453" s="986" t="str">
        <f>VLOOKUP($B453,DG!A:D,DG!$C$2,)</f>
        <v>Kẽm</v>
      </c>
      <c r="G453" s="980" t="str">
        <f>VLOOKUP($B453,DG!A:D,DG!$D$2,)</f>
        <v>kg</v>
      </c>
      <c r="H453" s="1690">
        <f t="shared" si="85"/>
        <v>0</v>
      </c>
      <c r="I453" s="1690">
        <f t="shared" si="83"/>
        <v>0</v>
      </c>
      <c r="J453" s="1690">
        <f t="shared" si="83"/>
        <v>0</v>
      </c>
      <c r="K453" s="1690">
        <f t="shared" si="83"/>
        <v>0</v>
      </c>
      <c r="L453" s="1690">
        <f t="shared" si="83"/>
        <v>0</v>
      </c>
      <c r="M453" s="1690">
        <f t="shared" si="83"/>
        <v>0</v>
      </c>
      <c r="N453" s="1690">
        <f t="shared" si="83"/>
        <v>0</v>
      </c>
      <c r="O453" s="1690">
        <f t="shared" si="83"/>
        <v>0</v>
      </c>
      <c r="P453" s="1690">
        <f t="shared" si="83"/>
        <v>0</v>
      </c>
      <c r="Q453" s="1690">
        <f t="shared" si="83"/>
        <v>0</v>
      </c>
      <c r="R453" s="1690">
        <f t="shared" si="83"/>
        <v>0</v>
      </c>
      <c r="S453" s="982"/>
      <c r="T453" s="1858">
        <f t="shared" si="84"/>
        <v>0</v>
      </c>
      <c r="U453" s="1412"/>
    </row>
    <row r="454" spans="1:21" ht="22.2" hidden="1" customHeight="1">
      <c r="A454" s="1444">
        <f>COUNTIF($C$12:C454,"x")</f>
        <v>29</v>
      </c>
      <c r="B454" s="1449" t="s">
        <v>639</v>
      </c>
      <c r="C454" s="60" t="str">
        <f t="shared" si="82"/>
        <v xml:space="preserve"> </v>
      </c>
      <c r="D454" s="1412">
        <v>1.988</v>
      </c>
      <c r="E454" s="980" t="str">
        <f>VLOOKUP($B454,DG!A:D,DG!$B$2,)</f>
        <v>03.1013</v>
      </c>
      <c r="F454" s="981" t="str">
        <f>VLOOKUP($B454,DG!A:D,DG!$C$2,)</f>
        <v>Đào hố móng đất cấp 3 sâu &gt;1m</v>
      </c>
      <c r="G454" s="980" t="str">
        <f>VLOOKUP($B454,DG!A:D,DG!$D$2,)</f>
        <v>m3</v>
      </c>
      <c r="H454" s="1690">
        <f t="shared" si="85"/>
        <v>0</v>
      </c>
      <c r="I454" s="1690">
        <f t="shared" si="83"/>
        <v>0</v>
      </c>
      <c r="J454" s="1690">
        <f t="shared" si="83"/>
        <v>0</v>
      </c>
      <c r="K454" s="1690">
        <f t="shared" si="83"/>
        <v>0</v>
      </c>
      <c r="L454" s="1690">
        <f t="shared" si="83"/>
        <v>0</v>
      </c>
      <c r="M454" s="1690">
        <f t="shared" si="83"/>
        <v>0</v>
      </c>
      <c r="N454" s="1690">
        <f t="shared" si="83"/>
        <v>0</v>
      </c>
      <c r="O454" s="1690">
        <f t="shared" si="83"/>
        <v>0</v>
      </c>
      <c r="P454" s="1690">
        <f t="shared" si="83"/>
        <v>0</v>
      </c>
      <c r="Q454" s="1690">
        <f t="shared" si="83"/>
        <v>0</v>
      </c>
      <c r="R454" s="1690">
        <f t="shared" si="83"/>
        <v>0</v>
      </c>
      <c r="S454" s="987"/>
      <c r="T454" s="1858">
        <f t="shared" si="84"/>
        <v>0</v>
      </c>
      <c r="U454" s="1412"/>
    </row>
    <row r="455" spans="1:21" ht="22.2" hidden="1" customHeight="1">
      <c r="A455" s="1444">
        <f>COUNTIF($C$12:C455,"x")</f>
        <v>29</v>
      </c>
      <c r="B455" s="1449" t="s">
        <v>21</v>
      </c>
      <c r="C455" s="60" t="str">
        <f t="shared" si="82"/>
        <v xml:space="preserve"> </v>
      </c>
      <c r="D455" s="1412">
        <v>0.216</v>
      </c>
      <c r="E455" s="980" t="str">
        <f>VLOOKUP($B455,DG!A:D,DG!$B$2,)</f>
        <v>03.4113</v>
      </c>
      <c r="F455" s="981" t="str">
        <f>VLOOKUP($B455,DG!A:D,DG!$C$2,)</f>
        <v>Đắp đất hố móng, độ chặt k=0,95</v>
      </c>
      <c r="G455" s="980" t="str">
        <f>VLOOKUP($B455,DG!A:D,DG!$D$2,)</f>
        <v>m3</v>
      </c>
      <c r="H455" s="1690">
        <f t="shared" si="85"/>
        <v>0</v>
      </c>
      <c r="I455" s="1690">
        <f t="shared" si="83"/>
        <v>0</v>
      </c>
      <c r="J455" s="1690">
        <f t="shared" si="83"/>
        <v>0</v>
      </c>
      <c r="K455" s="1690">
        <f t="shared" si="83"/>
        <v>0</v>
      </c>
      <c r="L455" s="1690">
        <f t="shared" si="83"/>
        <v>0</v>
      </c>
      <c r="M455" s="1690">
        <f t="shared" si="83"/>
        <v>0</v>
      </c>
      <c r="N455" s="1690">
        <f t="shared" si="83"/>
        <v>0</v>
      </c>
      <c r="O455" s="1690">
        <f t="shared" si="83"/>
        <v>0</v>
      </c>
      <c r="P455" s="1690">
        <f t="shared" si="83"/>
        <v>0</v>
      </c>
      <c r="Q455" s="1690">
        <f t="shared" si="83"/>
        <v>0</v>
      </c>
      <c r="R455" s="1690">
        <f t="shared" si="83"/>
        <v>0</v>
      </c>
      <c r="S455" s="987"/>
      <c r="T455" s="1858">
        <f t="shared" si="84"/>
        <v>0</v>
      </c>
      <c r="U455" s="1412"/>
    </row>
    <row r="456" spans="1:21" ht="22.2" hidden="1" customHeight="1">
      <c r="A456" s="1444">
        <f>COUNTIF($C$12:C456,"x")</f>
        <v>29</v>
      </c>
      <c r="B456" s="1449" t="s">
        <v>1293</v>
      </c>
      <c r="C456" s="60" t="str">
        <f t="shared" si="82"/>
        <v xml:space="preserve"> </v>
      </c>
      <c r="D456" s="1412"/>
      <c r="E456" s="980" t="str">
        <f>VLOOKUP($B456,DG!A:D,DG!$B$2,)</f>
        <v>02.1101</v>
      </c>
      <c r="F456" s="981" t="str">
        <f>VLOOKUP($B456,DG!A:D,DG!$C$2,)</f>
        <v>Bốc dỡ xi măng</v>
      </c>
      <c r="G456" s="980" t="str">
        <f>VLOOKUP($B456,DG!A:D,DG!$D$2,)</f>
        <v>tấn</v>
      </c>
      <c r="H456" s="1690">
        <f t="shared" si="85"/>
        <v>0</v>
      </c>
      <c r="I456" s="1690">
        <f t="shared" si="83"/>
        <v>0</v>
      </c>
      <c r="J456" s="1690">
        <f t="shared" si="83"/>
        <v>0</v>
      </c>
      <c r="K456" s="1690">
        <f t="shared" si="83"/>
        <v>0</v>
      </c>
      <c r="L456" s="1690">
        <f t="shared" si="83"/>
        <v>0</v>
      </c>
      <c r="M456" s="1690">
        <f t="shared" si="83"/>
        <v>0</v>
      </c>
      <c r="N456" s="1690">
        <f t="shared" si="83"/>
        <v>0</v>
      </c>
      <c r="O456" s="1690">
        <f t="shared" si="83"/>
        <v>0</v>
      </c>
      <c r="P456" s="1690">
        <f t="shared" si="83"/>
        <v>0</v>
      </c>
      <c r="Q456" s="1690">
        <f t="shared" si="83"/>
        <v>0</v>
      </c>
      <c r="R456" s="1690">
        <f t="shared" si="83"/>
        <v>0</v>
      </c>
      <c r="S456" s="987"/>
      <c r="T456" s="1858">
        <f t="shared" si="84"/>
        <v>0</v>
      </c>
      <c r="U456" s="1412"/>
    </row>
    <row r="457" spans="1:21" ht="22.2" hidden="1" customHeight="1">
      <c r="A457" s="1444">
        <f>COUNTIF($C$12:C457,"x")</f>
        <v>29</v>
      </c>
      <c r="B457" s="1449" t="s">
        <v>133</v>
      </c>
      <c r="C457" s="60" t="str">
        <f t="shared" si="82"/>
        <v xml:space="preserve"> </v>
      </c>
      <c r="D457" s="1412"/>
      <c r="E457" s="980" t="str">
        <f>VLOOKUP($B457,DG!A:D,DG!$B$2,)</f>
        <v>02.1103</v>
      </c>
      <c r="F457" s="981" t="str">
        <f>VLOOKUP($B457,DG!A:D,DG!$C$2,)</f>
        <v>Bốc dỡ cát</v>
      </c>
      <c r="G457" s="980" t="str">
        <f>VLOOKUP($B457,DG!A:D,DG!$D$2,)</f>
        <v>m3</v>
      </c>
      <c r="H457" s="1690">
        <f t="shared" si="85"/>
        <v>0</v>
      </c>
      <c r="I457" s="1690">
        <f t="shared" si="83"/>
        <v>0</v>
      </c>
      <c r="J457" s="1690">
        <f t="shared" si="83"/>
        <v>0</v>
      </c>
      <c r="K457" s="1690">
        <f t="shared" si="83"/>
        <v>0</v>
      </c>
      <c r="L457" s="1690">
        <f t="shared" si="83"/>
        <v>0</v>
      </c>
      <c r="M457" s="1690">
        <f t="shared" si="83"/>
        <v>0</v>
      </c>
      <c r="N457" s="1690">
        <f t="shared" si="83"/>
        <v>0</v>
      </c>
      <c r="O457" s="1690">
        <f t="shared" si="83"/>
        <v>0</v>
      </c>
      <c r="P457" s="1690">
        <f t="shared" si="83"/>
        <v>0</v>
      </c>
      <c r="Q457" s="1690">
        <f t="shared" si="83"/>
        <v>0</v>
      </c>
      <c r="R457" s="1690">
        <f t="shared" si="83"/>
        <v>0</v>
      </c>
      <c r="S457" s="987"/>
      <c r="T457" s="1858">
        <f t="shared" si="84"/>
        <v>0</v>
      </c>
      <c r="U457" s="1412"/>
    </row>
    <row r="458" spans="1:21" ht="22.2" hidden="1" customHeight="1">
      <c r="A458" s="1444">
        <f>COUNTIF($C$12:C458,"x")</f>
        <v>29</v>
      </c>
      <c r="B458" s="1449" t="s">
        <v>135</v>
      </c>
      <c r="C458" s="60" t="str">
        <f t="shared" si="82"/>
        <v xml:space="preserve"> </v>
      </c>
      <c r="D458" s="1412"/>
      <c r="E458" s="980" t="str">
        <f>VLOOKUP($B458,DG!A:D,DG!$B$2,)</f>
        <v>02.1104</v>
      </c>
      <c r="F458" s="981" t="str">
        <f>VLOOKUP($B458,DG!A:D,DG!$C$2,)</f>
        <v>Bốc dỡ đá dăm</v>
      </c>
      <c r="G458" s="980" t="str">
        <f>VLOOKUP($B458,DG!A:D,DG!$D$2,)</f>
        <v>m3</v>
      </c>
      <c r="H458" s="1690">
        <f t="shared" si="85"/>
        <v>0</v>
      </c>
      <c r="I458" s="1690">
        <f t="shared" si="83"/>
        <v>0</v>
      </c>
      <c r="J458" s="1690">
        <f t="shared" si="83"/>
        <v>0</v>
      </c>
      <c r="K458" s="1690">
        <f t="shared" si="83"/>
        <v>0</v>
      </c>
      <c r="L458" s="1690">
        <f t="shared" si="83"/>
        <v>0</v>
      </c>
      <c r="M458" s="1690">
        <f t="shared" si="83"/>
        <v>0</v>
      </c>
      <c r="N458" s="1690">
        <f t="shared" si="83"/>
        <v>0</v>
      </c>
      <c r="O458" s="1690">
        <f t="shared" si="83"/>
        <v>0</v>
      </c>
      <c r="P458" s="1690">
        <f t="shared" si="83"/>
        <v>0</v>
      </c>
      <c r="Q458" s="1690">
        <f t="shared" si="83"/>
        <v>0</v>
      </c>
      <c r="R458" s="1690">
        <f t="shared" si="83"/>
        <v>0</v>
      </c>
      <c r="S458" s="987"/>
      <c r="T458" s="1858">
        <f t="shared" si="84"/>
        <v>0</v>
      </c>
      <c r="U458" s="1412"/>
    </row>
    <row r="459" spans="1:21" ht="22.2" hidden="1" customHeight="1">
      <c r="A459" s="1444">
        <f>COUNTIF($C$12:C459,"x")</f>
        <v>29</v>
      </c>
      <c r="B459" s="1449" t="s">
        <v>495</v>
      </c>
      <c r="C459" s="60" t="str">
        <f t="shared" si="82"/>
        <v xml:space="preserve"> </v>
      </c>
      <c r="D459" s="1412"/>
      <c r="E459" s="980" t="str">
        <f>VLOOKUP($B459,DG!A:D,DG!$B$2,)</f>
        <v>02.1211</v>
      </c>
      <c r="F459" s="981" t="str">
        <f>VLOOKUP($B459,DG!A:D,DG!$C$2,)</f>
        <v>V/c xi măng ( cự ly &lt;=100m)</v>
      </c>
      <c r="G459" s="980" t="str">
        <f>VLOOKUP($B459,DG!A:D,DG!$D$2,)</f>
        <v>tấn</v>
      </c>
      <c r="H459" s="1690">
        <f t="shared" si="85"/>
        <v>0</v>
      </c>
      <c r="I459" s="1690">
        <f t="shared" si="83"/>
        <v>0</v>
      </c>
      <c r="J459" s="1690">
        <f t="shared" si="83"/>
        <v>0</v>
      </c>
      <c r="K459" s="1690">
        <f t="shared" si="83"/>
        <v>0</v>
      </c>
      <c r="L459" s="1690">
        <f t="shared" si="83"/>
        <v>0</v>
      </c>
      <c r="M459" s="1690">
        <f t="shared" si="83"/>
        <v>0</v>
      </c>
      <c r="N459" s="1690">
        <f t="shared" si="83"/>
        <v>0</v>
      </c>
      <c r="O459" s="1690">
        <f t="shared" si="83"/>
        <v>0</v>
      </c>
      <c r="P459" s="1690">
        <f t="shared" si="83"/>
        <v>0</v>
      </c>
      <c r="Q459" s="1690">
        <f t="shared" si="83"/>
        <v>0</v>
      </c>
      <c r="R459" s="1690">
        <f t="shared" si="83"/>
        <v>0</v>
      </c>
      <c r="S459" s="987"/>
      <c r="T459" s="1858">
        <f t="shared" si="84"/>
        <v>0</v>
      </c>
      <c r="U459" s="1412"/>
    </row>
    <row r="460" spans="1:21" ht="22.2" hidden="1" customHeight="1">
      <c r="A460" s="1444">
        <f>COUNTIF($C$12:C460,"x")</f>
        <v>29</v>
      </c>
      <c r="B460" s="1449" t="s">
        <v>1611</v>
      </c>
      <c r="C460" s="60" t="str">
        <f t="shared" si="82"/>
        <v xml:space="preserve"> </v>
      </c>
      <c r="D460" s="1412"/>
      <c r="E460" s="980" t="str">
        <f>VLOOKUP($B460,DG!A:D,DG!$B$2,)</f>
        <v>02.1231</v>
      </c>
      <c r="F460" s="981" t="str">
        <f>VLOOKUP($B460,DG!A:D,DG!$C$2,)</f>
        <v>V/c cát vàng cự ly &lt;=100m</v>
      </c>
      <c r="G460" s="980" t="str">
        <f>VLOOKUP($B460,DG!A:D,DG!$D$2,)</f>
        <v>m3</v>
      </c>
      <c r="H460" s="1690">
        <f t="shared" si="85"/>
        <v>0</v>
      </c>
      <c r="I460" s="1690">
        <f t="shared" si="83"/>
        <v>0</v>
      </c>
      <c r="J460" s="1690">
        <f t="shared" si="83"/>
        <v>0</v>
      </c>
      <c r="K460" s="1690">
        <f t="shared" si="83"/>
        <v>0</v>
      </c>
      <c r="L460" s="1690">
        <f t="shared" si="83"/>
        <v>0</v>
      </c>
      <c r="M460" s="1690">
        <f t="shared" si="83"/>
        <v>0</v>
      </c>
      <c r="N460" s="1690">
        <f t="shared" si="83"/>
        <v>0</v>
      </c>
      <c r="O460" s="1690">
        <f t="shared" si="83"/>
        <v>0</v>
      </c>
      <c r="P460" s="1690">
        <f t="shared" si="83"/>
        <v>0</v>
      </c>
      <c r="Q460" s="1690">
        <f t="shared" si="83"/>
        <v>0</v>
      </c>
      <c r="R460" s="1690">
        <f t="shared" si="83"/>
        <v>0</v>
      </c>
      <c r="S460" s="987"/>
      <c r="T460" s="1858">
        <f t="shared" si="84"/>
        <v>0</v>
      </c>
      <c r="U460" s="1412"/>
    </row>
    <row r="461" spans="1:21" ht="22.2" hidden="1" customHeight="1">
      <c r="A461" s="1444">
        <f>COUNTIF($C$12:C461,"x")</f>
        <v>29</v>
      </c>
      <c r="B461" s="1449" t="s">
        <v>521</v>
      </c>
      <c r="C461" s="60" t="str">
        <f t="shared" si="82"/>
        <v xml:space="preserve"> </v>
      </c>
      <c r="D461" s="1412"/>
      <c r="E461" s="980" t="str">
        <f>VLOOKUP($B461,DG!A:D,DG!$B$2,)</f>
        <v>02.1241</v>
      </c>
      <c r="F461" s="981" t="str">
        <f>VLOOKUP($B461,DG!A:D,DG!$C$2,)</f>
        <v>V/c đá dăm ( cự ly &lt;=100m)</v>
      </c>
      <c r="G461" s="980" t="str">
        <f>VLOOKUP($B461,DG!A:D,DG!$D$2,)</f>
        <v>m3</v>
      </c>
      <c r="H461" s="1690">
        <f t="shared" si="85"/>
        <v>0</v>
      </c>
      <c r="I461" s="1690">
        <f t="shared" si="83"/>
        <v>0</v>
      </c>
      <c r="J461" s="1690">
        <f t="shared" si="83"/>
        <v>0</v>
      </c>
      <c r="K461" s="1690">
        <f t="shared" si="83"/>
        <v>0</v>
      </c>
      <c r="L461" s="1690">
        <f t="shared" si="83"/>
        <v>0</v>
      </c>
      <c r="M461" s="1690">
        <f t="shared" si="83"/>
        <v>0</v>
      </c>
      <c r="N461" s="1690">
        <f t="shared" si="83"/>
        <v>0</v>
      </c>
      <c r="O461" s="1690">
        <f t="shared" si="83"/>
        <v>0</v>
      </c>
      <c r="P461" s="1690">
        <f t="shared" si="83"/>
        <v>0</v>
      </c>
      <c r="Q461" s="1690">
        <f t="shared" si="83"/>
        <v>0</v>
      </c>
      <c r="R461" s="1690">
        <f t="shared" si="83"/>
        <v>0</v>
      </c>
      <c r="S461" s="987"/>
      <c r="T461" s="1858">
        <f t="shared" si="84"/>
        <v>0</v>
      </c>
      <c r="U461" s="1412"/>
    </row>
    <row r="462" spans="1:21" ht="22.2" hidden="1" customHeight="1">
      <c r="A462" s="1444">
        <f>COUNTIF($C$12:C462,"x")</f>
        <v>29</v>
      </c>
      <c r="B462" s="1449" t="s">
        <v>1981</v>
      </c>
      <c r="C462" s="60" t="str">
        <f t="shared" si="82"/>
        <v xml:space="preserve"> </v>
      </c>
      <c r="D462" s="1412"/>
      <c r="E462" s="980" t="str">
        <f>VLOOKUP($B462,DG!A:D,DG!$B$2,)</f>
        <v>02.1482</v>
      </c>
      <c r="F462" s="981" t="str">
        <f>VLOOKUP($B462,DG!A:D,DG!$C$2,)</f>
        <v>V/c dụng cụ thi công ( cự ly &lt;=100m)</v>
      </c>
      <c r="G462" s="980" t="str">
        <f>VLOOKUP($B462,DG!A:D,DG!$D$2,)</f>
        <v>tấn</v>
      </c>
      <c r="H462" s="1690">
        <f t="shared" si="85"/>
        <v>0</v>
      </c>
      <c r="I462" s="1690">
        <f t="shared" si="83"/>
        <v>0</v>
      </c>
      <c r="J462" s="1690">
        <f t="shared" si="83"/>
        <v>0</v>
      </c>
      <c r="K462" s="1690">
        <f t="shared" si="83"/>
        <v>0</v>
      </c>
      <c r="L462" s="1690">
        <f t="shared" si="83"/>
        <v>0</v>
      </c>
      <c r="M462" s="1690">
        <f t="shared" si="83"/>
        <v>0</v>
      </c>
      <c r="N462" s="1690">
        <f t="shared" si="83"/>
        <v>0</v>
      </c>
      <c r="O462" s="1690">
        <f t="shared" si="83"/>
        <v>0</v>
      </c>
      <c r="P462" s="1690">
        <f t="shared" si="83"/>
        <v>0</v>
      </c>
      <c r="Q462" s="1690">
        <f t="shared" si="83"/>
        <v>0</v>
      </c>
      <c r="R462" s="1690">
        <f t="shared" si="83"/>
        <v>0</v>
      </c>
      <c r="S462" s="987"/>
      <c r="T462" s="1858">
        <f t="shared" si="84"/>
        <v>0</v>
      </c>
      <c r="U462" s="1412"/>
    </row>
    <row r="463" spans="1:21" ht="22.2" hidden="1" customHeight="1">
      <c r="A463" s="1444">
        <f>COUNTIF($C$12:C463,"x")</f>
        <v>29</v>
      </c>
      <c r="B463" s="1449" t="s">
        <v>997</v>
      </c>
      <c r="C463" s="60" t="str">
        <f t="shared" si="82"/>
        <v xml:space="preserve"> </v>
      </c>
      <c r="D463" s="1412">
        <f>D452</f>
        <v>0</v>
      </c>
      <c r="E463" s="980" t="str">
        <f>VLOOKUP($B463,DG!A:D,DG!$B$2,)</f>
        <v>04.5101</v>
      </c>
      <c r="F463" s="981" t="str">
        <f>VLOOKUP($B463,DG!A:D,DG!$C$2,)</f>
        <v>Gia công và lắp dựng cốt thép D&lt;=10</v>
      </c>
      <c r="G463" s="980" t="str">
        <f>VLOOKUP($B463,DG!A:D,DG!$D$2,)</f>
        <v>kg</v>
      </c>
      <c r="H463" s="1690">
        <f t="shared" si="85"/>
        <v>0</v>
      </c>
      <c r="I463" s="1690">
        <f t="shared" si="83"/>
        <v>0</v>
      </c>
      <c r="J463" s="1690">
        <f t="shared" si="83"/>
        <v>0</v>
      </c>
      <c r="K463" s="1690">
        <f t="shared" si="83"/>
        <v>0</v>
      </c>
      <c r="L463" s="1690">
        <f t="shared" si="83"/>
        <v>0</v>
      </c>
      <c r="M463" s="1690">
        <f t="shared" si="83"/>
        <v>0</v>
      </c>
      <c r="N463" s="1690">
        <f t="shared" si="83"/>
        <v>0</v>
      </c>
      <c r="O463" s="1690">
        <f t="shared" si="83"/>
        <v>0</v>
      </c>
      <c r="P463" s="1690">
        <f t="shared" si="83"/>
        <v>0</v>
      </c>
      <c r="Q463" s="1690">
        <f t="shared" si="83"/>
        <v>0</v>
      </c>
      <c r="R463" s="1690">
        <f t="shared" si="83"/>
        <v>0</v>
      </c>
      <c r="S463" s="987"/>
      <c r="T463" s="1858">
        <f t="shared" si="84"/>
        <v>0</v>
      </c>
      <c r="U463" s="1412"/>
    </row>
    <row r="464" spans="1:21" ht="22.2" hidden="1" customHeight="1">
      <c r="A464" s="1444">
        <f>COUNTIF($C$12:C464,"x")</f>
        <v>29</v>
      </c>
      <c r="B464" s="1449" t="s">
        <v>1835</v>
      </c>
      <c r="C464" s="60" t="str">
        <f t="shared" si="82"/>
        <v xml:space="preserve"> </v>
      </c>
      <c r="D464" s="1412">
        <v>1.4350000000000001</v>
      </c>
      <c r="E464" s="980" t="str">
        <f>VLOOKUP($B464,DG!A:D,DG!$B$2,)</f>
        <v>04.1203b</v>
      </c>
      <c r="F464" s="981" t="str">
        <f>VLOOKUP($B464,DG!A:D,DG!$C$2,)</f>
        <v>Đổ bê tông mác M150 đá 1x2</v>
      </c>
      <c r="G464" s="980" t="str">
        <f>VLOOKUP($B464,DG!A:D,DG!$D$2,)</f>
        <v>m3</v>
      </c>
      <c r="H464" s="1690">
        <f t="shared" si="85"/>
        <v>0</v>
      </c>
      <c r="I464" s="1690">
        <f t="shared" si="83"/>
        <v>0</v>
      </c>
      <c r="J464" s="1690">
        <f t="shared" si="83"/>
        <v>0</v>
      </c>
      <c r="K464" s="1690">
        <f t="shared" si="83"/>
        <v>0</v>
      </c>
      <c r="L464" s="1690">
        <f t="shared" si="83"/>
        <v>0</v>
      </c>
      <c r="M464" s="1690">
        <f t="shared" si="83"/>
        <v>0</v>
      </c>
      <c r="N464" s="1690">
        <f t="shared" si="83"/>
        <v>0</v>
      </c>
      <c r="O464" s="1690">
        <f t="shared" si="83"/>
        <v>0</v>
      </c>
      <c r="P464" s="1690">
        <f t="shared" si="83"/>
        <v>0</v>
      </c>
      <c r="Q464" s="1690">
        <f t="shared" si="83"/>
        <v>0</v>
      </c>
      <c r="R464" s="1690">
        <f t="shared" si="83"/>
        <v>0</v>
      </c>
      <c r="S464" s="987"/>
      <c r="T464" s="1858">
        <f t="shared" si="84"/>
        <v>0</v>
      </c>
      <c r="U464" s="1412"/>
    </row>
    <row r="465" spans="1:20" ht="22.2" hidden="1" customHeight="1">
      <c r="A465" s="1444">
        <f>COUNTIF($C$12:C465,"x")</f>
        <v>29</v>
      </c>
      <c r="B465" s="1448" t="s">
        <v>649</v>
      </c>
      <c r="C465" s="59" t="str">
        <f t="shared" si="72"/>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2" hidden="1" customHeight="1">
      <c r="A466" s="1444">
        <f>COUNTIF($C$12:C466,"x")</f>
        <v>29</v>
      </c>
      <c r="B466" s="1461" t="s">
        <v>636</v>
      </c>
      <c r="C466" s="60" t="str">
        <f t="shared" si="72"/>
        <v xml:space="preserve"> </v>
      </c>
      <c r="D466" s="1414">
        <v>2</v>
      </c>
      <c r="E466" s="976" t="str">
        <f>VLOOKUP($B466,DG!A:D,DG!$B$2,)</f>
        <v>04.4001</v>
      </c>
      <c r="F466" s="986" t="str">
        <f>VLOOKUP($B466,DG!A:D,DG!$C$2,)</f>
        <v>Đà cản BTCT 1,2m</v>
      </c>
      <c r="G466" s="980" t="str">
        <f>VLOOKUP($B466,DG!A:D,DG!$D$2,)</f>
        <v>cái</v>
      </c>
      <c r="H466" s="1690">
        <f t="shared" ref="H466:N467" si="86">H$465*$D466</f>
        <v>0</v>
      </c>
      <c r="I466" s="1690">
        <f t="shared" si="86"/>
        <v>0</v>
      </c>
      <c r="J466" s="1690">
        <f t="shared" si="86"/>
        <v>0</v>
      </c>
      <c r="K466" s="1690">
        <f t="shared" si="86"/>
        <v>0</v>
      </c>
      <c r="L466" s="1690">
        <f t="shared" si="86"/>
        <v>0</v>
      </c>
      <c r="M466" s="1690">
        <f t="shared" si="86"/>
        <v>0</v>
      </c>
      <c r="N466" s="1690">
        <f t="shared" si="86"/>
        <v>0</v>
      </c>
      <c r="O466" s="1690"/>
      <c r="P466" s="1690"/>
      <c r="Q466" s="984"/>
      <c r="R466" s="984"/>
      <c r="S466" s="984"/>
      <c r="T466" s="1858">
        <f t="shared" si="71"/>
        <v>0</v>
      </c>
    </row>
    <row r="467" spans="1:20" ht="22.2" hidden="1" customHeight="1">
      <c r="A467" s="1444">
        <f>COUNTIF($C$12:C467,"x")</f>
        <v>29</v>
      </c>
      <c r="B467" s="1461" t="s">
        <v>566</v>
      </c>
      <c r="C467" s="60" t="str">
        <f t="shared" si="72"/>
        <v xml:space="preserve"> </v>
      </c>
      <c r="D467" s="1414">
        <v>2</v>
      </c>
      <c r="E467" s="980"/>
      <c r="F467" s="986" t="str">
        <f>VLOOKUP($B467,DG!A:D,DG!$C$2,)</f>
        <v>Boulon 22x650+ 2 long đền vuông D24-50x50x3/Zn</v>
      </c>
      <c r="G467" s="980" t="str">
        <f>VLOOKUP($B467,DG!A:D,DG!$D$2,)</f>
        <v>bộ</v>
      </c>
      <c r="H467" s="1690">
        <f t="shared" si="86"/>
        <v>0</v>
      </c>
      <c r="I467" s="1690">
        <f t="shared" si="86"/>
        <v>0</v>
      </c>
      <c r="J467" s="1690">
        <f t="shared" si="86"/>
        <v>0</v>
      </c>
      <c r="K467" s="1690">
        <f t="shared" si="86"/>
        <v>0</v>
      </c>
      <c r="L467" s="1690">
        <f t="shared" si="86"/>
        <v>0</v>
      </c>
      <c r="M467" s="1690">
        <f t="shared" si="86"/>
        <v>0</v>
      </c>
      <c r="N467" s="1690">
        <f t="shared" si="86"/>
        <v>0</v>
      </c>
      <c r="O467" s="1690"/>
      <c r="P467" s="1690"/>
      <c r="Q467" s="984"/>
      <c r="R467" s="984"/>
      <c r="S467" s="984"/>
      <c r="T467" s="1858">
        <f t="shared" si="71"/>
        <v>0</v>
      </c>
    </row>
    <row r="468" spans="1:20" ht="22.2" hidden="1" customHeight="1">
      <c r="A468" s="1444">
        <f>COUNTIF($C$12:C468,"x")</f>
        <v>29</v>
      </c>
      <c r="B468" s="1461" t="s">
        <v>639</v>
      </c>
      <c r="C468" s="60" t="str">
        <f t="shared" si="72"/>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1"/>
        <v>0</v>
      </c>
    </row>
    <row r="469" spans="1:20" ht="22.2" hidden="1" customHeight="1">
      <c r="A469" s="1444">
        <f>COUNTIF($C$12:C469,"x")</f>
        <v>29</v>
      </c>
      <c r="B469" s="1461" t="s">
        <v>21</v>
      </c>
      <c r="C469" s="60" t="str">
        <f t="shared" si="72"/>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1"/>
        <v>0</v>
      </c>
    </row>
    <row r="470" spans="1:20" ht="22.2" hidden="1" customHeight="1">
      <c r="A470" s="1444">
        <f>COUNTIF($C$12:C470,"x")</f>
        <v>29</v>
      </c>
      <c r="B470" s="1461" t="s">
        <v>637</v>
      </c>
      <c r="C470" s="60" t="str">
        <f t="shared" si="72"/>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1"/>
        <v>0</v>
      </c>
    </row>
    <row r="471" spans="1:20" ht="22.2" hidden="1" customHeight="1">
      <c r="A471" s="1444">
        <f>COUNTIF($C$12:C471,"x")</f>
        <v>29</v>
      </c>
      <c r="B471" s="1449" t="s">
        <v>2063</v>
      </c>
      <c r="C471" s="60" t="str">
        <f t="shared" si="72"/>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1"/>
        <v>0</v>
      </c>
    </row>
    <row r="472" spans="1:20" ht="22.2" hidden="1" customHeight="1">
      <c r="A472" s="1444">
        <f>COUNTIF($C$12:C472,"x")</f>
        <v>29</v>
      </c>
      <c r="B472" s="1449" t="s">
        <v>635</v>
      </c>
      <c r="C472" s="60" t="str">
        <f t="shared" si="72"/>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1"/>
        <v>0</v>
      </c>
    </row>
    <row r="473" spans="1:20" ht="22.2" hidden="1" customHeight="1">
      <c r="A473" s="1444">
        <f>COUNTIF($C$12:C473,"x")</f>
        <v>29</v>
      </c>
      <c r="B473" s="1448" t="s">
        <v>483</v>
      </c>
      <c r="C473" s="59" t="str">
        <f t="shared" si="72"/>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2" hidden="1" customHeight="1">
      <c r="A474" s="1444">
        <f>COUNTIF($C$12:C474,"x")</f>
        <v>29</v>
      </c>
      <c r="B474" s="1461" t="s">
        <v>1575</v>
      </c>
      <c r="C474" s="60" t="str">
        <f t="shared" si="72"/>
        <v xml:space="preserve"> </v>
      </c>
      <c r="D474" s="1414">
        <v>1</v>
      </c>
      <c r="E474" s="976" t="str">
        <f>VLOOKUP($B474,DG!A:D,DG!$B$2,)</f>
        <v>04.3801</v>
      </c>
      <c r="F474" s="986" t="str">
        <f>VLOOKUP($B474,DG!A:D,DG!$C$2,)</f>
        <v>Đà cản BTCT 1,5m</v>
      </c>
      <c r="G474" s="980" t="str">
        <f>VLOOKUP($B474,DG!A:D,DG!$D$2,)</f>
        <v>cái</v>
      </c>
      <c r="H474" s="1690">
        <f t="shared" ref="H474:N476" si="87">H$473*$D474</f>
        <v>0</v>
      </c>
      <c r="I474" s="1690">
        <f t="shared" si="87"/>
        <v>0</v>
      </c>
      <c r="J474" s="1690">
        <f t="shared" si="87"/>
        <v>0</v>
      </c>
      <c r="K474" s="1690">
        <f t="shared" si="87"/>
        <v>0</v>
      </c>
      <c r="L474" s="1690">
        <f t="shared" si="87"/>
        <v>0</v>
      </c>
      <c r="M474" s="1690">
        <f t="shared" si="87"/>
        <v>0</v>
      </c>
      <c r="N474" s="1690">
        <f t="shared" si="87"/>
        <v>0</v>
      </c>
      <c r="O474" s="1690"/>
      <c r="P474" s="1690"/>
      <c r="Q474" s="984"/>
      <c r="R474" s="984"/>
      <c r="S474" s="984"/>
      <c r="T474" s="1858">
        <f t="shared" si="71"/>
        <v>0</v>
      </c>
    </row>
    <row r="475" spans="1:20" ht="22.2" hidden="1" customHeight="1">
      <c r="A475" s="1444">
        <f>COUNTIF($C$12:C475,"x")</f>
        <v>29</v>
      </c>
      <c r="B475" s="1461" t="s">
        <v>636</v>
      </c>
      <c r="C475" s="60" t="str">
        <f t="shared" si="72"/>
        <v xml:space="preserve"> </v>
      </c>
      <c r="D475" s="1414">
        <v>1</v>
      </c>
      <c r="E475" s="976" t="str">
        <f>VLOOKUP($B475,DG!A:D,DG!$B$2,)</f>
        <v>04.4001</v>
      </c>
      <c r="F475" s="986" t="str">
        <f>VLOOKUP($B475,DG!A:D,DG!$C$2,)</f>
        <v>Đà cản BTCT 1,2m</v>
      </c>
      <c r="G475" s="980" t="str">
        <f>VLOOKUP($B475,DG!A:D,DG!$D$2,)</f>
        <v>cái</v>
      </c>
      <c r="H475" s="1690">
        <f t="shared" si="87"/>
        <v>0</v>
      </c>
      <c r="I475" s="1690">
        <f t="shared" si="87"/>
        <v>0</v>
      </c>
      <c r="J475" s="1690">
        <f t="shared" si="87"/>
        <v>0</v>
      </c>
      <c r="K475" s="1690">
        <f t="shared" si="87"/>
        <v>0</v>
      </c>
      <c r="L475" s="1690">
        <f t="shared" si="87"/>
        <v>0</v>
      </c>
      <c r="M475" s="1690">
        <f t="shared" si="87"/>
        <v>0</v>
      </c>
      <c r="N475" s="1690">
        <f t="shared" si="87"/>
        <v>0</v>
      </c>
      <c r="O475" s="1690"/>
      <c r="P475" s="1690"/>
      <c r="Q475" s="984"/>
      <c r="R475" s="984"/>
      <c r="S475" s="984"/>
      <c r="T475" s="1858">
        <f t="shared" si="71"/>
        <v>0</v>
      </c>
    </row>
    <row r="476" spans="1:20" ht="22.2" hidden="1" customHeight="1">
      <c r="A476" s="1444">
        <f>COUNTIF($C$12:C476,"x")</f>
        <v>29</v>
      </c>
      <c r="B476" s="1461" t="s">
        <v>566</v>
      </c>
      <c r="C476" s="60" t="str">
        <f t="shared" si="72"/>
        <v xml:space="preserve"> </v>
      </c>
      <c r="D476" s="1414">
        <v>2</v>
      </c>
      <c r="E476" s="980"/>
      <c r="F476" s="986" t="str">
        <f>VLOOKUP($B476,DG!A:D,DG!$C$2,)</f>
        <v>Boulon 22x650+ 2 long đền vuông D24-50x50x3/Zn</v>
      </c>
      <c r="G476" s="980" t="str">
        <f>VLOOKUP($B476,DG!A:D,DG!$D$2,)</f>
        <v>bộ</v>
      </c>
      <c r="H476" s="1690">
        <f t="shared" si="87"/>
        <v>0</v>
      </c>
      <c r="I476" s="1690">
        <f t="shared" si="87"/>
        <v>0</v>
      </c>
      <c r="J476" s="1690">
        <f t="shared" si="87"/>
        <v>0</v>
      </c>
      <c r="K476" s="1690">
        <f t="shared" si="87"/>
        <v>0</v>
      </c>
      <c r="L476" s="1690">
        <f t="shared" si="87"/>
        <v>0</v>
      </c>
      <c r="M476" s="1690">
        <f t="shared" si="87"/>
        <v>0</v>
      </c>
      <c r="N476" s="1690">
        <f t="shared" si="87"/>
        <v>0</v>
      </c>
      <c r="O476" s="1690"/>
      <c r="P476" s="1690"/>
      <c r="Q476" s="984"/>
      <c r="R476" s="984"/>
      <c r="S476" s="984"/>
      <c r="T476" s="1858">
        <f t="shared" si="71"/>
        <v>0</v>
      </c>
    </row>
    <row r="477" spans="1:20" ht="22.2" hidden="1" customHeight="1">
      <c r="A477" s="1444">
        <f>COUNTIF($C$12:C477,"x")</f>
        <v>29</v>
      </c>
      <c r="B477" s="1461" t="s">
        <v>639</v>
      </c>
      <c r="C477" s="60" t="str">
        <f t="shared" si="72"/>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1"/>
        <v>0</v>
      </c>
    </row>
    <row r="478" spans="1:20" ht="22.2" hidden="1" customHeight="1">
      <c r="A478" s="1444">
        <f>COUNTIF($C$12:C478,"x")</f>
        <v>29</v>
      </c>
      <c r="B478" s="1461" t="s">
        <v>21</v>
      </c>
      <c r="C478" s="60" t="str">
        <f t="shared" si="72"/>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1"/>
        <v>0</v>
      </c>
    </row>
    <row r="479" spans="1:20" ht="22.2" hidden="1" customHeight="1">
      <c r="A479" s="1444">
        <f>COUNTIF($C$12:C479,"x")</f>
        <v>29</v>
      </c>
      <c r="B479" s="1461" t="s">
        <v>637</v>
      </c>
      <c r="C479" s="60" t="str">
        <f t="shared" si="72"/>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1"/>
        <v>0</v>
      </c>
    </row>
    <row r="480" spans="1:20" ht="22.2" hidden="1" customHeight="1">
      <c r="A480" s="1444">
        <f>COUNTIF($C$12:C480,"x")</f>
        <v>29</v>
      </c>
      <c r="B480" s="1449" t="s">
        <v>2063</v>
      </c>
      <c r="C480" s="60" t="str">
        <f t="shared" si="72"/>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1"/>
        <v>0</v>
      </c>
    </row>
    <row r="481" spans="1:20" ht="22.2" hidden="1" customHeight="1">
      <c r="A481" s="1444">
        <f>COUNTIF($C$12:C481,"x")</f>
        <v>29</v>
      </c>
      <c r="B481" s="1449" t="s">
        <v>635</v>
      </c>
      <c r="C481" s="60" t="str">
        <f t="shared" si="72"/>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1"/>
        <v>0</v>
      </c>
    </row>
    <row r="482" spans="1:20" ht="22.2" hidden="1" customHeight="1">
      <c r="A482" s="1444">
        <f>COUNTIF($C$12:C482,"x")</f>
        <v>29</v>
      </c>
      <c r="B482" s="1448" t="s">
        <v>484</v>
      </c>
      <c r="C482" s="59" t="str">
        <f t="shared" si="72"/>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2" hidden="1" customHeight="1">
      <c r="A483" s="1444">
        <f>COUNTIF($C$12:C483,"x")</f>
        <v>29</v>
      </c>
      <c r="B483" s="1461" t="s">
        <v>1575</v>
      </c>
      <c r="C483" s="60" t="str">
        <f t="shared" ref="C483:C546" si="88">IF(OR(P483&lt;&gt;0,H483&lt;&gt;0),"x"," ")</f>
        <v xml:space="preserve"> </v>
      </c>
      <c r="D483" s="1414">
        <v>2</v>
      </c>
      <c r="E483" s="976" t="str">
        <f>VLOOKUP($B483,DG!A:D,DG!$B$2,)</f>
        <v>04.3801</v>
      </c>
      <c r="F483" s="986" t="str">
        <f>VLOOKUP($B483,DG!A:D,DG!$C$2,)</f>
        <v>Đà cản BTCT 1,5m</v>
      </c>
      <c r="G483" s="980" t="str">
        <f>VLOOKUP($B483,DG!A:D,DG!$D$2,)</f>
        <v>cái</v>
      </c>
      <c r="H483" s="1690">
        <f t="shared" ref="H483:N484" si="89">H$482*$D483</f>
        <v>0</v>
      </c>
      <c r="I483" s="1690">
        <f t="shared" si="89"/>
        <v>0</v>
      </c>
      <c r="J483" s="1690">
        <f t="shared" si="89"/>
        <v>0</v>
      </c>
      <c r="K483" s="1690">
        <f t="shared" si="89"/>
        <v>0</v>
      </c>
      <c r="L483" s="1690">
        <f t="shared" si="89"/>
        <v>0</v>
      </c>
      <c r="M483" s="1690">
        <f t="shared" si="89"/>
        <v>0</v>
      </c>
      <c r="N483" s="1690">
        <f t="shared" si="89"/>
        <v>0</v>
      </c>
      <c r="O483" s="1690"/>
      <c r="P483" s="1690"/>
      <c r="Q483" s="984"/>
      <c r="R483" s="984"/>
      <c r="S483" s="984"/>
      <c r="T483" s="1858">
        <f t="shared" ref="T483:T545" si="90">IFERROR(HLOOKUP(B483,BangKeTru,3,0),0)</f>
        <v>0</v>
      </c>
    </row>
    <row r="484" spans="1:20" ht="22.2" hidden="1" customHeight="1">
      <c r="A484" s="1444">
        <f>COUNTIF($C$12:C484,"x")</f>
        <v>29</v>
      </c>
      <c r="B484" s="1461" t="s">
        <v>566</v>
      </c>
      <c r="C484" s="60" t="str">
        <f t="shared" si="88"/>
        <v xml:space="preserve"> </v>
      </c>
      <c r="D484" s="1414">
        <v>2</v>
      </c>
      <c r="E484" s="980"/>
      <c r="F484" s="986" t="str">
        <f>VLOOKUP($B484,DG!A:D,DG!$C$2,)</f>
        <v>Boulon 22x650+ 2 long đền vuông D24-50x50x3/Zn</v>
      </c>
      <c r="G484" s="980" t="str">
        <f>VLOOKUP($B484,DG!A:D,DG!$D$2,)</f>
        <v>bộ</v>
      </c>
      <c r="H484" s="1690">
        <f t="shared" si="89"/>
        <v>0</v>
      </c>
      <c r="I484" s="1690">
        <f t="shared" si="89"/>
        <v>0</v>
      </c>
      <c r="J484" s="1690">
        <f t="shared" si="89"/>
        <v>0</v>
      </c>
      <c r="K484" s="1690">
        <f t="shared" si="89"/>
        <v>0</v>
      </c>
      <c r="L484" s="1690">
        <f t="shared" si="89"/>
        <v>0</v>
      </c>
      <c r="M484" s="1690">
        <f t="shared" si="89"/>
        <v>0</v>
      </c>
      <c r="N484" s="1690">
        <f t="shared" si="89"/>
        <v>0</v>
      </c>
      <c r="O484" s="1690"/>
      <c r="P484" s="1690"/>
      <c r="Q484" s="984"/>
      <c r="R484" s="984"/>
      <c r="S484" s="984"/>
      <c r="T484" s="1858">
        <f t="shared" si="90"/>
        <v>0</v>
      </c>
    </row>
    <row r="485" spans="1:20" ht="22.2" hidden="1" customHeight="1">
      <c r="A485" s="1444">
        <f>COUNTIF($C$12:C485,"x")</f>
        <v>29</v>
      </c>
      <c r="B485" s="1461" t="s">
        <v>639</v>
      </c>
      <c r="C485" s="60" t="str">
        <f t="shared" si="88"/>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90"/>
        <v>0</v>
      </c>
    </row>
    <row r="486" spans="1:20" ht="22.2" hidden="1" customHeight="1">
      <c r="A486" s="1444">
        <f>COUNTIF($C$12:C486,"x")</f>
        <v>29</v>
      </c>
      <c r="B486" s="1461" t="s">
        <v>21</v>
      </c>
      <c r="C486" s="60" t="str">
        <f t="shared" si="88"/>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90"/>
        <v>0</v>
      </c>
    </row>
    <row r="487" spans="1:20" ht="22.2" hidden="1" customHeight="1">
      <c r="A487" s="1444">
        <f>COUNTIF($C$12:C487,"x")</f>
        <v>29</v>
      </c>
      <c r="B487" s="1461" t="s">
        <v>637</v>
      </c>
      <c r="C487" s="60" t="str">
        <f t="shared" si="88"/>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90"/>
        <v>0</v>
      </c>
    </row>
    <row r="488" spans="1:20" ht="22.2" hidden="1" customHeight="1">
      <c r="A488" s="1444">
        <f>COUNTIF($C$12:C488,"x")</f>
        <v>29</v>
      </c>
      <c r="B488" s="1449" t="s">
        <v>2063</v>
      </c>
      <c r="C488" s="60" t="str">
        <f t="shared" si="88"/>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90"/>
        <v>0</v>
      </c>
    </row>
    <row r="489" spans="1:20" ht="22.2" hidden="1" customHeight="1">
      <c r="A489" s="1444">
        <f>COUNTIF($C$12:C489,"x")</f>
        <v>29</v>
      </c>
      <c r="B489" s="1449" t="s">
        <v>635</v>
      </c>
      <c r="C489" s="60" t="str">
        <f t="shared" si="88"/>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90"/>
        <v>0</v>
      </c>
    </row>
    <row r="490" spans="1:20" ht="22.2" hidden="1" customHeight="1">
      <c r="A490" s="1444">
        <f>COUNTIF($C$12:C490,"x")</f>
        <v>29</v>
      </c>
      <c r="B490" s="1448" t="s">
        <v>285</v>
      </c>
      <c r="C490" s="59" t="str">
        <f t="shared" si="88"/>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2" hidden="1" customHeight="1">
      <c r="A491" s="1444">
        <f>COUNTIF($C$12:C491,"x")</f>
        <v>29</v>
      </c>
      <c r="B491" s="1451" t="s">
        <v>224</v>
      </c>
      <c r="C491" s="60" t="str">
        <f t="shared" si="88"/>
        <v xml:space="preserve"> </v>
      </c>
      <c r="D491" s="1411">
        <v>28</v>
      </c>
      <c r="E491" s="976" t="str">
        <f>VLOOKUP($B491,DG!A:D,DG!$B$2,)</f>
        <v>04.5142</v>
      </c>
      <c r="F491" s="988" t="str">
        <f>VLOOKUP($B491,DG!A:D,DG!$C$2,)</f>
        <v>Cừ tràm 5m</v>
      </c>
      <c r="G491" s="976" t="str">
        <f>VLOOKUP($B491,DG!A:D,DG!$D$2,)</f>
        <v>cây</v>
      </c>
      <c r="H491" s="1689">
        <f t="shared" ref="H491:N494" si="91">H$490*$D491</f>
        <v>0</v>
      </c>
      <c r="I491" s="1689">
        <f t="shared" si="91"/>
        <v>0</v>
      </c>
      <c r="J491" s="1689">
        <f t="shared" si="91"/>
        <v>0</v>
      </c>
      <c r="K491" s="1689">
        <f t="shared" si="91"/>
        <v>0</v>
      </c>
      <c r="L491" s="1689">
        <f t="shared" si="91"/>
        <v>0</v>
      </c>
      <c r="M491" s="1689">
        <f t="shared" si="91"/>
        <v>0</v>
      </c>
      <c r="N491" s="1689">
        <f t="shared" si="91"/>
        <v>0</v>
      </c>
      <c r="O491" s="1689"/>
      <c r="P491" s="1689"/>
      <c r="Q491" s="985"/>
      <c r="R491" s="985"/>
      <c r="S491" s="985"/>
      <c r="T491" s="1858">
        <f t="shared" si="90"/>
        <v>0</v>
      </c>
    </row>
    <row r="492" spans="1:20" ht="22.2" hidden="1" customHeight="1">
      <c r="A492" s="1444">
        <f>COUNTIF($C$12:C492,"x")</f>
        <v>29</v>
      </c>
      <c r="B492" s="1451" t="s">
        <v>1575</v>
      </c>
      <c r="C492" s="60" t="str">
        <f t="shared" si="88"/>
        <v xml:space="preserve"> </v>
      </c>
      <c r="D492" s="1411">
        <v>2</v>
      </c>
      <c r="E492" s="976" t="str">
        <f>VLOOKUP($B492,DG!A:D,DG!$B$2,)</f>
        <v>04.3801</v>
      </c>
      <c r="F492" s="988" t="str">
        <f>VLOOKUP($B492,DG!A:D,DG!$C$2,)</f>
        <v>Đà cản BTCT 1,5m</v>
      </c>
      <c r="G492" s="976" t="str">
        <f>VLOOKUP($B492,DG!A:D,DG!$D$2,)</f>
        <v>cái</v>
      </c>
      <c r="H492" s="1689">
        <f t="shared" si="91"/>
        <v>0</v>
      </c>
      <c r="I492" s="1689">
        <f t="shared" si="91"/>
        <v>0</v>
      </c>
      <c r="J492" s="1689">
        <f t="shared" si="91"/>
        <v>0</v>
      </c>
      <c r="K492" s="1689">
        <f t="shared" si="91"/>
        <v>0</v>
      </c>
      <c r="L492" s="1689">
        <f t="shared" si="91"/>
        <v>0</v>
      </c>
      <c r="M492" s="1689">
        <f t="shared" si="91"/>
        <v>0</v>
      </c>
      <c r="N492" s="1689">
        <f t="shared" si="91"/>
        <v>0</v>
      </c>
      <c r="O492" s="1689"/>
      <c r="P492" s="1689"/>
      <c r="Q492" s="985"/>
      <c r="R492" s="985"/>
      <c r="S492" s="985"/>
      <c r="T492" s="1858">
        <f t="shared" si="90"/>
        <v>0</v>
      </c>
    </row>
    <row r="493" spans="1:20" ht="22.2" hidden="1" customHeight="1">
      <c r="A493" s="1444">
        <f>COUNTIF($C$12:C493,"x")</f>
        <v>29</v>
      </c>
      <c r="B493" s="1451" t="s">
        <v>722</v>
      </c>
      <c r="C493" s="60" t="str">
        <f t="shared" si="88"/>
        <v xml:space="preserve"> </v>
      </c>
      <c r="D493" s="1411">
        <v>1</v>
      </c>
      <c r="E493" s="976"/>
      <c r="F493" s="988" t="str">
        <f>VLOOKUP($B493,DG!A:D,DG!$C$2,)</f>
        <v>Boulon 22x850+ 2 long đền vuông D24-50x50x3/Zn</v>
      </c>
      <c r="G493" s="976" t="str">
        <f>VLOOKUP($B493,DG!A:D,DG!$D$2,)</f>
        <v>bộ</v>
      </c>
      <c r="H493" s="1689">
        <f t="shared" si="91"/>
        <v>0</v>
      </c>
      <c r="I493" s="1689">
        <f t="shared" si="91"/>
        <v>0</v>
      </c>
      <c r="J493" s="1689">
        <f t="shared" si="91"/>
        <v>0</v>
      </c>
      <c r="K493" s="1689">
        <f t="shared" si="91"/>
        <v>0</v>
      </c>
      <c r="L493" s="1689">
        <f t="shared" si="91"/>
        <v>0</v>
      </c>
      <c r="M493" s="1689">
        <f t="shared" si="91"/>
        <v>0</v>
      </c>
      <c r="N493" s="1689">
        <f t="shared" si="91"/>
        <v>0</v>
      </c>
      <c r="O493" s="1689"/>
      <c r="P493" s="1689"/>
      <c r="Q493" s="985"/>
      <c r="R493" s="985"/>
      <c r="S493" s="985"/>
      <c r="T493" s="1858">
        <f t="shared" si="90"/>
        <v>0</v>
      </c>
    </row>
    <row r="494" spans="1:20" ht="22.2" hidden="1" customHeight="1">
      <c r="A494" s="1444">
        <f>COUNTIF($C$12:C494,"x")</f>
        <v>29</v>
      </c>
      <c r="B494" s="1451" t="s">
        <v>566</v>
      </c>
      <c r="C494" s="60" t="str">
        <f t="shared" si="88"/>
        <v xml:space="preserve"> </v>
      </c>
      <c r="D494" s="1411">
        <v>2</v>
      </c>
      <c r="E494" s="976"/>
      <c r="F494" s="988" t="str">
        <f>VLOOKUP($B494,DG!A:D,DG!$C$2,)</f>
        <v>Boulon 22x650+ 2 long đền vuông D24-50x50x3/Zn</v>
      </c>
      <c r="G494" s="976" t="str">
        <f>VLOOKUP($B494,DG!A:D,DG!$D$2,)</f>
        <v>bộ</v>
      </c>
      <c r="H494" s="1689">
        <f t="shared" si="91"/>
        <v>0</v>
      </c>
      <c r="I494" s="1689">
        <f t="shared" si="91"/>
        <v>0</v>
      </c>
      <c r="J494" s="1689">
        <f t="shared" si="91"/>
        <v>0</v>
      </c>
      <c r="K494" s="1689">
        <f t="shared" si="91"/>
        <v>0</v>
      </c>
      <c r="L494" s="1689">
        <f t="shared" si="91"/>
        <v>0</v>
      </c>
      <c r="M494" s="1689">
        <f t="shared" si="91"/>
        <v>0</v>
      </c>
      <c r="N494" s="1689">
        <f t="shared" si="91"/>
        <v>0</v>
      </c>
      <c r="O494" s="1689"/>
      <c r="P494" s="1689"/>
      <c r="Q494" s="985"/>
      <c r="R494" s="985"/>
      <c r="S494" s="985"/>
      <c r="T494" s="1858">
        <f t="shared" si="90"/>
        <v>0</v>
      </c>
    </row>
    <row r="495" spans="1:20" ht="22.2" hidden="1" customHeight="1">
      <c r="A495" s="1444">
        <f>COUNTIF($C$12:C495,"x")</f>
        <v>29</v>
      </c>
      <c r="B495" s="1451" t="s">
        <v>639</v>
      </c>
      <c r="C495" s="60" t="str">
        <f t="shared" si="88"/>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90"/>
        <v>0</v>
      </c>
    </row>
    <row r="496" spans="1:20" ht="22.2" hidden="1" customHeight="1">
      <c r="A496" s="1444">
        <f>COUNTIF($C$12:C496,"x")</f>
        <v>29</v>
      </c>
      <c r="B496" s="1451" t="s">
        <v>21</v>
      </c>
      <c r="C496" s="60" t="str">
        <f t="shared" si="88"/>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90"/>
        <v>0</v>
      </c>
    </row>
    <row r="497" spans="1:20" ht="22.2" hidden="1" customHeight="1">
      <c r="A497" s="1444">
        <f>COUNTIF($C$12:C497,"x")</f>
        <v>29</v>
      </c>
      <c r="B497" s="1451" t="s">
        <v>637</v>
      </c>
      <c r="C497" s="60" t="str">
        <f t="shared" si="88"/>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90"/>
        <v>0</v>
      </c>
    </row>
    <row r="498" spans="1:20" ht="22.2" hidden="1" customHeight="1">
      <c r="A498" s="1444">
        <f>COUNTIF($C$12:C498,"x")</f>
        <v>29</v>
      </c>
      <c r="B498" s="1451" t="s">
        <v>1577</v>
      </c>
      <c r="C498" s="60" t="str">
        <f t="shared" si="88"/>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90"/>
        <v>0</v>
      </c>
    </row>
    <row r="499" spans="1:20" ht="22.2" hidden="1" customHeight="1">
      <c r="A499" s="1444">
        <f>COUNTIF($C$12:C499,"x")</f>
        <v>29</v>
      </c>
      <c r="B499" s="1462" t="s">
        <v>634</v>
      </c>
      <c r="C499" s="60" t="str">
        <f t="shared" si="88"/>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90"/>
        <v>0</v>
      </c>
    </row>
    <row r="500" spans="1:20" ht="22.2" hidden="1" customHeight="1">
      <c r="A500" s="1444">
        <f>COUNTIF($C$12:C500,"x")</f>
        <v>29</v>
      </c>
      <c r="B500" s="1460" t="s">
        <v>2063</v>
      </c>
      <c r="C500" s="60" t="str">
        <f t="shared" si="88"/>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90"/>
        <v>0</v>
      </c>
    </row>
    <row r="501" spans="1:20" ht="22.2" hidden="1" customHeight="1">
      <c r="A501" s="1444">
        <f>COUNTIF($C$12:C501,"x")</f>
        <v>29</v>
      </c>
      <c r="B501" s="1460" t="s">
        <v>635</v>
      </c>
      <c r="C501" s="60" t="str">
        <f t="shared" si="88"/>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90"/>
        <v>0</v>
      </c>
    </row>
    <row r="502" spans="1:20" ht="22.2" hidden="1" customHeight="1">
      <c r="A502" s="1444">
        <f>COUNTIF($C$12:C502,"x")</f>
        <v>29</v>
      </c>
      <c r="B502" s="1448" t="s">
        <v>650</v>
      </c>
      <c r="C502" s="59" t="str">
        <f t="shared" si="88"/>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2" hidden="1" customHeight="1">
      <c r="A503" s="1444">
        <f>COUNTIF($C$12:C503,"x")</f>
        <v>29</v>
      </c>
      <c r="B503" s="1461" t="s">
        <v>636</v>
      </c>
      <c r="C503" s="60" t="str">
        <f t="shared" si="88"/>
        <v xml:space="preserve"> </v>
      </c>
      <c r="D503" s="1414">
        <v>2</v>
      </c>
      <c r="E503" s="976" t="str">
        <f>VLOOKUP($B503,DG!A:D,DG!$B$2,)</f>
        <v>04.4001</v>
      </c>
      <c r="F503" s="986" t="str">
        <f>VLOOKUP($B503,DG!A:D,DG!$C$2,)</f>
        <v>Đà cản BTCT 1,2m</v>
      </c>
      <c r="G503" s="980" t="str">
        <f>VLOOKUP($B503,DG!A:D,DG!$D$2,)</f>
        <v>cái</v>
      </c>
      <c r="H503" s="1690">
        <f t="shared" ref="H503:N504" si="92">H$502*$D503</f>
        <v>0</v>
      </c>
      <c r="I503" s="1690">
        <f t="shared" si="92"/>
        <v>0</v>
      </c>
      <c r="J503" s="1690">
        <f t="shared" si="92"/>
        <v>0</v>
      </c>
      <c r="K503" s="1690">
        <f t="shared" si="92"/>
        <v>0</v>
      </c>
      <c r="L503" s="1690">
        <f t="shared" si="92"/>
        <v>0</v>
      </c>
      <c r="M503" s="1690">
        <f t="shared" si="92"/>
        <v>0</v>
      </c>
      <c r="N503" s="1690">
        <f t="shared" si="92"/>
        <v>0</v>
      </c>
      <c r="O503" s="1690"/>
      <c r="P503" s="1690"/>
      <c r="Q503" s="984"/>
      <c r="R503" s="984"/>
      <c r="S503" s="984"/>
      <c r="T503" s="1858">
        <f t="shared" si="90"/>
        <v>0</v>
      </c>
    </row>
    <row r="504" spans="1:20" ht="22.2" hidden="1" customHeight="1">
      <c r="A504" s="1444">
        <f>COUNTIF($C$12:C504,"x")</f>
        <v>29</v>
      </c>
      <c r="B504" s="1461" t="s">
        <v>1828</v>
      </c>
      <c r="C504" s="60" t="str">
        <f t="shared" si="88"/>
        <v xml:space="preserve"> </v>
      </c>
      <c r="D504" s="1414">
        <v>1</v>
      </c>
      <c r="E504" s="980"/>
      <c r="F504" s="986" t="str">
        <f>VLOOKUP($B504,DG!A:D,DG!$C$2,)</f>
        <v>Boulon 22x700+ 2 long đền vuông D24-50x50x3/Zn</v>
      </c>
      <c r="G504" s="980" t="str">
        <f>VLOOKUP($B504,DG!A:D,DG!$D$2,)</f>
        <v>bộ</v>
      </c>
      <c r="H504" s="1690">
        <f t="shared" si="92"/>
        <v>0</v>
      </c>
      <c r="I504" s="1690">
        <f t="shared" si="92"/>
        <v>0</v>
      </c>
      <c r="J504" s="1690">
        <f t="shared" si="92"/>
        <v>0</v>
      </c>
      <c r="K504" s="1690">
        <f t="shared" si="92"/>
        <v>0</v>
      </c>
      <c r="L504" s="1690">
        <f t="shared" si="92"/>
        <v>0</v>
      </c>
      <c r="M504" s="1690">
        <f t="shared" si="92"/>
        <v>0</v>
      </c>
      <c r="N504" s="1690">
        <f t="shared" si="92"/>
        <v>0</v>
      </c>
      <c r="O504" s="1690"/>
      <c r="P504" s="1690"/>
      <c r="Q504" s="984"/>
      <c r="R504" s="984"/>
      <c r="S504" s="984"/>
      <c r="T504" s="1858">
        <f t="shared" si="90"/>
        <v>0</v>
      </c>
    </row>
    <row r="505" spans="1:20" ht="22.2" hidden="1" customHeight="1">
      <c r="A505" s="1444">
        <f>COUNTIF($C$12:C505,"x")</f>
        <v>29</v>
      </c>
      <c r="B505" s="1451" t="s">
        <v>1812</v>
      </c>
      <c r="C505" s="60" t="str">
        <f t="shared" si="88"/>
        <v xml:space="preserve"> </v>
      </c>
      <c r="D505" s="1409">
        <v>0.42099999999999999</v>
      </c>
      <c r="E505" s="976">
        <f>VLOOKUP($B505,DG!A:D,DG!$B$2,)</f>
        <v>0</v>
      </c>
      <c r="F505" s="981" t="str">
        <f>VLOOKUP($B505,DG!A:D,DG!$C$2,)</f>
        <v>Đá 2x4</v>
      </c>
      <c r="G505" s="976" t="str">
        <f>VLOOKUP($B505,DG!A:D,DG!$D$2,)</f>
        <v>m3</v>
      </c>
      <c r="H505" s="1689">
        <f t="shared" ref="H505:N505" si="93">H$18*$D505</f>
        <v>0</v>
      </c>
      <c r="I505" s="1689">
        <f t="shared" si="93"/>
        <v>0</v>
      </c>
      <c r="J505" s="1689">
        <f t="shared" si="93"/>
        <v>0</v>
      </c>
      <c r="K505" s="1689">
        <f t="shared" si="93"/>
        <v>0</v>
      </c>
      <c r="L505" s="1689">
        <f t="shared" si="93"/>
        <v>0</v>
      </c>
      <c r="M505" s="1689">
        <f t="shared" si="93"/>
        <v>0</v>
      </c>
      <c r="N505" s="1689">
        <f t="shared" si="93"/>
        <v>0</v>
      </c>
      <c r="O505" s="1689"/>
      <c r="P505" s="1689"/>
      <c r="Q505" s="985"/>
      <c r="R505" s="985"/>
      <c r="S505" s="985"/>
      <c r="T505" s="1858">
        <f t="shared" si="90"/>
        <v>0</v>
      </c>
    </row>
    <row r="506" spans="1:20" ht="22.2" hidden="1" customHeight="1">
      <c r="A506" s="1444">
        <f>COUNTIF($C$12:C506,"x")</f>
        <v>29</v>
      </c>
      <c r="B506" s="1461" t="s">
        <v>639</v>
      </c>
      <c r="C506" s="60" t="str">
        <f t="shared" si="88"/>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90"/>
        <v>0</v>
      </c>
    </row>
    <row r="507" spans="1:20" ht="22.2" hidden="1" customHeight="1">
      <c r="A507" s="1444">
        <f>COUNTIF($C$12:C507,"x")</f>
        <v>29</v>
      </c>
      <c r="B507" s="1461" t="s">
        <v>21</v>
      </c>
      <c r="C507" s="60" t="str">
        <f t="shared" si="88"/>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90"/>
        <v>0</v>
      </c>
    </row>
    <row r="508" spans="1:20" ht="22.2" hidden="1" customHeight="1">
      <c r="A508" s="1444">
        <f>COUNTIF($C$12:C508,"x")</f>
        <v>29</v>
      </c>
      <c r="B508" s="1461" t="s">
        <v>637</v>
      </c>
      <c r="C508" s="60" t="str">
        <f t="shared" si="88"/>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90"/>
        <v>0</v>
      </c>
    </row>
    <row r="509" spans="1:20" ht="22.2" hidden="1" customHeight="1">
      <c r="A509" s="1444">
        <f>COUNTIF($C$12:C509,"x")</f>
        <v>29</v>
      </c>
      <c r="B509" s="1449" t="s">
        <v>2063</v>
      </c>
      <c r="C509" s="60" t="str">
        <f t="shared" si="88"/>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90"/>
        <v>0</v>
      </c>
    </row>
    <row r="510" spans="1:20" ht="22.2" hidden="1" customHeight="1">
      <c r="A510" s="1444">
        <f>COUNTIF($C$12:C510,"x")</f>
        <v>29</v>
      </c>
      <c r="B510" s="1460" t="s">
        <v>674</v>
      </c>
      <c r="C510" s="60" t="str">
        <f t="shared" si="88"/>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90"/>
        <v>0</v>
      </c>
    </row>
    <row r="511" spans="1:20" ht="22.2" hidden="1" customHeight="1">
      <c r="A511" s="1444">
        <f>COUNTIF($C$12:C511,"x")</f>
        <v>29</v>
      </c>
      <c r="B511" s="1449" t="s">
        <v>635</v>
      </c>
      <c r="C511" s="60" t="str">
        <f t="shared" si="88"/>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90"/>
        <v>0</v>
      </c>
    </row>
    <row r="512" spans="1:20" ht="22.2" hidden="1" customHeight="1">
      <c r="A512" s="1444">
        <f>COUNTIF($C$12:C512,"x")</f>
        <v>29</v>
      </c>
      <c r="B512" s="1448" t="s">
        <v>1642</v>
      </c>
      <c r="C512" s="59" t="str">
        <f t="shared" si="88"/>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2" hidden="1" customHeight="1">
      <c r="A513" s="1444">
        <f>COUNTIF($C$12:C513,"x")</f>
        <v>29</v>
      </c>
      <c r="B513" s="1461" t="s">
        <v>1575</v>
      </c>
      <c r="C513" s="60" t="str">
        <f t="shared" si="88"/>
        <v xml:space="preserve"> </v>
      </c>
      <c r="D513" s="1414">
        <v>2</v>
      </c>
      <c r="E513" s="976" t="str">
        <f>VLOOKUP($B513,DG!A:D,DG!$B$2,)</f>
        <v>04.3801</v>
      </c>
      <c r="F513" s="986" t="str">
        <f>VLOOKUP($B513,DG!A:D,DG!$C$2,)</f>
        <v>Đà cản BTCT 1,5m</v>
      </c>
      <c r="G513" s="980" t="str">
        <f>VLOOKUP($B513,DG!A:D,DG!$D$2,)</f>
        <v>cái</v>
      </c>
      <c r="H513" s="1690">
        <f t="shared" ref="H513:N514" si="94">H$512*$D513</f>
        <v>0</v>
      </c>
      <c r="I513" s="1690">
        <f t="shared" si="94"/>
        <v>0</v>
      </c>
      <c r="J513" s="1690">
        <f t="shared" si="94"/>
        <v>0</v>
      </c>
      <c r="K513" s="1690">
        <f t="shared" si="94"/>
        <v>0</v>
      </c>
      <c r="L513" s="1690">
        <f t="shared" si="94"/>
        <v>0</v>
      </c>
      <c r="M513" s="1690">
        <f t="shared" si="94"/>
        <v>0</v>
      </c>
      <c r="N513" s="1690">
        <f t="shared" si="94"/>
        <v>0</v>
      </c>
      <c r="O513" s="1690"/>
      <c r="P513" s="1690"/>
      <c r="Q513" s="984"/>
      <c r="R513" s="984"/>
      <c r="S513" s="984"/>
      <c r="T513" s="1858">
        <f t="shared" si="90"/>
        <v>0</v>
      </c>
    </row>
    <row r="514" spans="1:20" ht="22.2" hidden="1" customHeight="1">
      <c r="A514" s="1444">
        <f>COUNTIF($C$12:C514,"x")</f>
        <v>29</v>
      </c>
      <c r="B514" s="1461" t="s">
        <v>416</v>
      </c>
      <c r="C514" s="60" t="str">
        <f t="shared" si="88"/>
        <v xml:space="preserve"> </v>
      </c>
      <c r="D514" s="1414">
        <v>1</v>
      </c>
      <c r="E514" s="980"/>
      <c r="F514" s="986" t="str">
        <f>VLOOKUP($B514,DG!A:D,DG!$C$2,)</f>
        <v>Boulon 22x800+ 2 long đền vuông D24-50x50x3/Zn</v>
      </c>
      <c r="G514" s="980" t="str">
        <f>VLOOKUP($B514,DG!A:D,DG!$D$2,)</f>
        <v>bộ</v>
      </c>
      <c r="H514" s="1690">
        <f t="shared" si="94"/>
        <v>0</v>
      </c>
      <c r="I514" s="1690">
        <f t="shared" si="94"/>
        <v>0</v>
      </c>
      <c r="J514" s="1690">
        <f t="shared" si="94"/>
        <v>0</v>
      </c>
      <c r="K514" s="1690">
        <f t="shared" si="94"/>
        <v>0</v>
      </c>
      <c r="L514" s="1690">
        <f t="shared" si="94"/>
        <v>0</v>
      </c>
      <c r="M514" s="1690">
        <f t="shared" si="94"/>
        <v>0</v>
      </c>
      <c r="N514" s="1690">
        <f t="shared" si="94"/>
        <v>0</v>
      </c>
      <c r="O514" s="1690"/>
      <c r="P514" s="1690"/>
      <c r="Q514" s="984"/>
      <c r="R514" s="984"/>
      <c r="S514" s="984"/>
      <c r="T514" s="1858">
        <f t="shared" si="90"/>
        <v>0</v>
      </c>
    </row>
    <row r="515" spans="1:20" ht="22.2" hidden="1" customHeight="1">
      <c r="A515" s="1444">
        <f>COUNTIF($C$12:C515,"x")</f>
        <v>29</v>
      </c>
      <c r="B515" s="1451" t="s">
        <v>1812</v>
      </c>
      <c r="C515" s="60" t="str">
        <f t="shared" si="88"/>
        <v xml:space="preserve"> </v>
      </c>
      <c r="D515" s="1409">
        <v>0.42099999999999999</v>
      </c>
      <c r="E515" s="976">
        <f>VLOOKUP($B515,DG!A:D,DG!$B$2,)</f>
        <v>0</v>
      </c>
      <c r="F515" s="981" t="str">
        <f>VLOOKUP($B515,DG!A:D,DG!$C$2,)</f>
        <v>Đá 2x4</v>
      </c>
      <c r="G515" s="976" t="str">
        <f>VLOOKUP($B515,DG!A:D,DG!$D$2,)</f>
        <v>m3</v>
      </c>
      <c r="H515" s="1689">
        <f t="shared" ref="H515:N515" si="95">H$18*$D515</f>
        <v>0</v>
      </c>
      <c r="I515" s="1689">
        <f t="shared" si="95"/>
        <v>0</v>
      </c>
      <c r="J515" s="1689">
        <f t="shared" si="95"/>
        <v>0</v>
      </c>
      <c r="K515" s="1689">
        <f t="shared" si="95"/>
        <v>0</v>
      </c>
      <c r="L515" s="1689">
        <f t="shared" si="95"/>
        <v>0</v>
      </c>
      <c r="M515" s="1689">
        <f t="shared" si="95"/>
        <v>0</v>
      </c>
      <c r="N515" s="1689">
        <f t="shared" si="95"/>
        <v>0</v>
      </c>
      <c r="O515" s="1689"/>
      <c r="P515" s="1689"/>
      <c r="Q515" s="985"/>
      <c r="R515" s="985"/>
      <c r="S515" s="985"/>
      <c r="T515" s="1858">
        <f t="shared" si="90"/>
        <v>0</v>
      </c>
    </row>
    <row r="516" spans="1:20" ht="22.2" hidden="1" customHeight="1">
      <c r="A516" s="1444">
        <f>COUNTIF($C$12:C516,"x")</f>
        <v>29</v>
      </c>
      <c r="B516" s="1461" t="s">
        <v>639</v>
      </c>
      <c r="C516" s="60" t="str">
        <f t="shared" si="88"/>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90"/>
        <v>0</v>
      </c>
    </row>
    <row r="517" spans="1:20" ht="22.2" hidden="1" customHeight="1">
      <c r="A517" s="1444">
        <f>COUNTIF($C$12:C517,"x")</f>
        <v>29</v>
      </c>
      <c r="B517" s="1461" t="s">
        <v>21</v>
      </c>
      <c r="C517" s="60" t="str">
        <f t="shared" si="88"/>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90"/>
        <v>0</v>
      </c>
    </row>
    <row r="518" spans="1:20" ht="22.2" hidden="1" customHeight="1">
      <c r="A518" s="1444">
        <f>COUNTIF($C$12:C518,"x")</f>
        <v>29</v>
      </c>
      <c r="B518" s="1461" t="s">
        <v>637</v>
      </c>
      <c r="C518" s="60" t="str">
        <f t="shared" si="88"/>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90"/>
        <v>0</v>
      </c>
    </row>
    <row r="519" spans="1:20" ht="22.2" hidden="1" customHeight="1">
      <c r="A519" s="1444">
        <f>COUNTIF($C$12:C519,"x")</f>
        <v>29</v>
      </c>
      <c r="B519" s="1449" t="s">
        <v>2063</v>
      </c>
      <c r="C519" s="60" t="str">
        <f t="shared" si="88"/>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90"/>
        <v>0</v>
      </c>
    </row>
    <row r="520" spans="1:20" ht="22.2" hidden="1" customHeight="1">
      <c r="A520" s="1444">
        <f>COUNTIF($C$12:C520,"x")</f>
        <v>29</v>
      </c>
      <c r="B520" s="1460" t="s">
        <v>674</v>
      </c>
      <c r="C520" s="60" t="str">
        <f t="shared" si="88"/>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90"/>
        <v>0</v>
      </c>
    </row>
    <row r="521" spans="1:20" ht="22.2" hidden="1" customHeight="1">
      <c r="A521" s="1444">
        <f>COUNTIF($C$12:C521,"x")</f>
        <v>29</v>
      </c>
      <c r="B521" s="1449" t="s">
        <v>635</v>
      </c>
      <c r="C521" s="60" t="str">
        <f t="shared" si="88"/>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90"/>
        <v>0</v>
      </c>
    </row>
    <row r="522" spans="1:20" ht="22.2" hidden="1" customHeight="1">
      <c r="A522" s="1444">
        <f>COUNTIF($C$12:C522,"x")</f>
        <v>29</v>
      </c>
      <c r="B522" s="1448" t="s">
        <v>987</v>
      </c>
      <c r="C522" s="59" t="str">
        <f t="shared" si="88"/>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2" hidden="1" customHeight="1">
      <c r="A523" s="1444">
        <f>COUNTIF($C$12:C523,"x")</f>
        <v>29</v>
      </c>
      <c r="B523" s="1461" t="s">
        <v>1575</v>
      </c>
      <c r="C523" s="60" t="str">
        <f t="shared" si="88"/>
        <v xml:space="preserve"> </v>
      </c>
      <c r="D523" s="1414">
        <v>4</v>
      </c>
      <c r="E523" s="976" t="str">
        <f>VLOOKUP($B523,DG!A:D,DG!$B$2,)</f>
        <v>04.3801</v>
      </c>
      <c r="F523" s="986" t="str">
        <f>VLOOKUP($B523,DG!A:D,DG!$C$2,)</f>
        <v>Đà cản BTCT 1,5m</v>
      </c>
      <c r="G523" s="980" t="str">
        <f>VLOOKUP($B523,DG!A:D,DG!$D$2,)</f>
        <v>cái</v>
      </c>
      <c r="H523" s="1690">
        <f t="shared" ref="H523:N524" si="96">H$522*$D523</f>
        <v>0</v>
      </c>
      <c r="I523" s="1690">
        <f t="shared" si="96"/>
        <v>0</v>
      </c>
      <c r="J523" s="1690">
        <f t="shared" si="96"/>
        <v>0</v>
      </c>
      <c r="K523" s="1690">
        <f t="shared" si="96"/>
        <v>0</v>
      </c>
      <c r="L523" s="1690">
        <f t="shared" si="96"/>
        <v>0</v>
      </c>
      <c r="M523" s="1690">
        <f t="shared" si="96"/>
        <v>0</v>
      </c>
      <c r="N523" s="1690">
        <f t="shared" si="96"/>
        <v>0</v>
      </c>
      <c r="O523" s="1690"/>
      <c r="P523" s="1690"/>
      <c r="Q523" s="984"/>
      <c r="R523" s="984"/>
      <c r="S523" s="984"/>
      <c r="T523" s="1858">
        <f t="shared" si="90"/>
        <v>0</v>
      </c>
    </row>
    <row r="524" spans="1:20" ht="22.2" hidden="1" customHeight="1">
      <c r="A524" s="1444">
        <f>COUNTIF($C$12:C524,"x")</f>
        <v>29</v>
      </c>
      <c r="B524" s="1461" t="s">
        <v>566</v>
      </c>
      <c r="C524" s="60" t="str">
        <f t="shared" si="88"/>
        <v xml:space="preserve"> </v>
      </c>
      <c r="D524" s="1414">
        <v>4</v>
      </c>
      <c r="E524" s="976"/>
      <c r="F524" s="986" t="str">
        <f>VLOOKUP($B524,DG!A:D,DG!$C$2,)</f>
        <v>Boulon 22x650+ 2 long đền vuông D24-50x50x3/Zn</v>
      </c>
      <c r="G524" s="980" t="str">
        <f>VLOOKUP($B524,DG!A:D,DG!$D$2,)</f>
        <v>bộ</v>
      </c>
      <c r="H524" s="1690">
        <f t="shared" si="96"/>
        <v>0</v>
      </c>
      <c r="I524" s="1690">
        <f t="shared" si="96"/>
        <v>0</v>
      </c>
      <c r="J524" s="1690">
        <f t="shared" si="96"/>
        <v>0</v>
      </c>
      <c r="K524" s="1690">
        <f t="shared" si="96"/>
        <v>0</v>
      </c>
      <c r="L524" s="1690">
        <f t="shared" si="96"/>
        <v>0</v>
      </c>
      <c r="M524" s="1690">
        <f t="shared" si="96"/>
        <v>0</v>
      </c>
      <c r="N524" s="1690">
        <f t="shared" si="96"/>
        <v>0</v>
      </c>
      <c r="O524" s="1690"/>
      <c r="P524" s="1690"/>
      <c r="Q524" s="984"/>
      <c r="R524" s="984"/>
      <c r="S524" s="984"/>
      <c r="T524" s="1858">
        <f t="shared" si="90"/>
        <v>0</v>
      </c>
    </row>
    <row r="525" spans="1:20" ht="22.2" hidden="1" customHeight="1">
      <c r="A525" s="1444">
        <f>COUNTIF($C$12:C525,"x")</f>
        <v>29</v>
      </c>
      <c r="B525" s="1461" t="s">
        <v>639</v>
      </c>
      <c r="C525" s="60" t="str">
        <f t="shared" si="88"/>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90"/>
        <v>0</v>
      </c>
    </row>
    <row r="526" spans="1:20" ht="22.2" hidden="1" customHeight="1">
      <c r="A526" s="1444">
        <f>COUNTIF($C$12:C526,"x")</f>
        <v>29</v>
      </c>
      <c r="B526" s="1461" t="s">
        <v>21</v>
      </c>
      <c r="C526" s="60" t="str">
        <f t="shared" si="88"/>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90"/>
        <v>0</v>
      </c>
    </row>
    <row r="527" spans="1:20" ht="22.2" hidden="1" customHeight="1">
      <c r="A527" s="1444">
        <f>COUNTIF($C$12:C527,"x")</f>
        <v>29</v>
      </c>
      <c r="B527" s="1461" t="s">
        <v>637</v>
      </c>
      <c r="C527" s="60" t="str">
        <f t="shared" si="88"/>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90"/>
        <v>0</v>
      </c>
    </row>
    <row r="528" spans="1:20" ht="22.2" hidden="1" customHeight="1">
      <c r="A528" s="1444">
        <f>COUNTIF($C$12:C528,"x")</f>
        <v>29</v>
      </c>
      <c r="B528" s="1449" t="s">
        <v>2063</v>
      </c>
      <c r="C528" s="60" t="str">
        <f t="shared" si="88"/>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90"/>
        <v>0</v>
      </c>
    </row>
    <row r="529" spans="1:20" ht="22.2" hidden="1" customHeight="1">
      <c r="A529" s="1444">
        <f>COUNTIF($C$12:C529,"x")</f>
        <v>29</v>
      </c>
      <c r="B529" s="1449" t="s">
        <v>635</v>
      </c>
      <c r="C529" s="60" t="str">
        <f t="shared" si="88"/>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90"/>
        <v>0</v>
      </c>
    </row>
    <row r="530" spans="1:20" ht="22.2" hidden="1" customHeight="1">
      <c r="A530" s="1444">
        <f>COUNTIF($C$12:C530,"x")</f>
        <v>29</v>
      </c>
      <c r="B530" s="1448" t="s">
        <v>312</v>
      </c>
      <c r="C530" s="59" t="str">
        <f t="shared" si="88"/>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2" hidden="1" customHeight="1">
      <c r="A531" s="1444">
        <f>COUNTIF($C$12:C531,"x")</f>
        <v>29</v>
      </c>
      <c r="B531" s="1461" t="s">
        <v>1836</v>
      </c>
      <c r="C531" s="60" t="str">
        <f t="shared" si="88"/>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7">H$530*$D531</f>
        <v>0</v>
      </c>
      <c r="I531" s="1690">
        <f t="shared" si="97"/>
        <v>0</v>
      </c>
      <c r="J531" s="1690">
        <f t="shared" si="97"/>
        <v>0</v>
      </c>
      <c r="K531" s="1690">
        <f t="shared" si="97"/>
        <v>0</v>
      </c>
      <c r="L531" s="1690">
        <f t="shared" si="97"/>
        <v>0</v>
      </c>
      <c r="M531" s="1690">
        <f t="shared" si="97"/>
        <v>0</v>
      </c>
      <c r="N531" s="1690">
        <f t="shared" si="97"/>
        <v>0</v>
      </c>
      <c r="O531" s="1690"/>
      <c r="P531" s="1690"/>
      <c r="Q531" s="984"/>
      <c r="R531" s="984"/>
      <c r="S531" s="984"/>
      <c r="T531" s="1858">
        <f t="shared" si="90"/>
        <v>0</v>
      </c>
    </row>
    <row r="532" spans="1:20" ht="22.2" hidden="1" customHeight="1">
      <c r="A532" s="1444">
        <f>COUNTIF($C$12:C532,"x")</f>
        <v>29</v>
      </c>
      <c r="B532" s="1461" t="s">
        <v>1955</v>
      </c>
      <c r="C532" s="60" t="str">
        <f t="shared" si="88"/>
        <v xml:space="preserve"> </v>
      </c>
      <c r="D532" s="1412">
        <v>0.20399999999999999</v>
      </c>
      <c r="E532" s="980" t="str">
        <f>VLOOKUP($B532,DG!A:D,DG!$B$2,)</f>
        <v>04.3112</v>
      </c>
      <c r="F532" s="981" t="str">
        <f>VLOOKUP($B532,DG!A:D,DG!$C$2,)</f>
        <v>Đổ bê tông mác M100 đá 4x6</v>
      </c>
      <c r="G532" s="980" t="str">
        <f>VLOOKUP($B532,DG!A:D,DG!$D$2,)</f>
        <v>m3</v>
      </c>
      <c r="H532" s="1690">
        <f t="shared" si="97"/>
        <v>0</v>
      </c>
      <c r="I532" s="1690">
        <f t="shared" si="97"/>
        <v>0</v>
      </c>
      <c r="J532" s="1690">
        <f t="shared" si="97"/>
        <v>0</v>
      </c>
      <c r="K532" s="1690">
        <f t="shared" si="97"/>
        <v>0</v>
      </c>
      <c r="L532" s="1690">
        <f t="shared" si="97"/>
        <v>0</v>
      </c>
      <c r="M532" s="1690">
        <f t="shared" si="97"/>
        <v>0</v>
      </c>
      <c r="N532" s="1690">
        <f t="shared" si="97"/>
        <v>0</v>
      </c>
      <c r="O532" s="1690"/>
      <c r="P532" s="1690"/>
      <c r="Q532" s="984"/>
      <c r="R532" s="984"/>
      <c r="S532" s="984"/>
      <c r="T532" s="1858">
        <f t="shared" si="90"/>
        <v>0</v>
      </c>
    </row>
    <row r="533" spans="1:20" ht="22.2" hidden="1" customHeight="1">
      <c r="A533" s="1444">
        <f>COUNTIF($C$12:C533,"x")</f>
        <v>29</v>
      </c>
      <c r="B533" s="1450" t="s">
        <v>4412</v>
      </c>
      <c r="C533" s="60" t="str">
        <f t="shared" si="88"/>
        <v xml:space="preserve"> </v>
      </c>
      <c r="D533" s="1416">
        <v>0.24</v>
      </c>
      <c r="E533" s="980"/>
      <c r="F533" s="981" t="str">
        <f>VLOOKUP($B533,DG!A:D,DG!$C$2,)</f>
        <v>Cát vàng</v>
      </c>
      <c r="G533" s="980" t="str">
        <f>VLOOKUP($B533,DG!A:D,DG!$D$2,)</f>
        <v>m3</v>
      </c>
      <c r="H533" s="1690">
        <f t="shared" si="97"/>
        <v>0</v>
      </c>
      <c r="I533" s="1690">
        <f t="shared" si="97"/>
        <v>0</v>
      </c>
      <c r="J533" s="1690">
        <f t="shared" si="97"/>
        <v>0</v>
      </c>
      <c r="K533" s="1690">
        <f t="shared" si="97"/>
        <v>0</v>
      </c>
      <c r="L533" s="1690">
        <f t="shared" si="97"/>
        <v>0</v>
      </c>
      <c r="M533" s="1690">
        <f t="shared" si="97"/>
        <v>0</v>
      </c>
      <c r="N533" s="1690">
        <f t="shared" si="97"/>
        <v>0</v>
      </c>
      <c r="O533" s="1690"/>
      <c r="P533" s="1690"/>
      <c r="Q533" s="984"/>
      <c r="R533" s="984"/>
      <c r="S533" s="984"/>
      <c r="T533" s="1858">
        <f t="shared" si="90"/>
        <v>0</v>
      </c>
    </row>
    <row r="534" spans="1:20" ht="22.2" hidden="1" customHeight="1">
      <c r="A534" s="1444">
        <f>COUNTIF($C$12:C534,"x")</f>
        <v>29</v>
      </c>
      <c r="B534" s="1461" t="s">
        <v>1973</v>
      </c>
      <c r="C534" s="60" t="str">
        <f t="shared" si="88"/>
        <v xml:space="preserve"> </v>
      </c>
      <c r="D534" s="1414">
        <v>193.05</v>
      </c>
      <c r="E534" s="980"/>
      <c r="F534" s="986" t="str">
        <f>VLOOKUP($B534,DG!A:D,DG!$C$2,)</f>
        <v>Sắt Ø6</v>
      </c>
      <c r="G534" s="980" t="str">
        <f>VLOOKUP($B534,DG!A:D,DG!$D$2,)</f>
        <v>kg</v>
      </c>
      <c r="H534" s="1690">
        <f t="shared" si="97"/>
        <v>0</v>
      </c>
      <c r="I534" s="1690">
        <f t="shared" si="97"/>
        <v>0</v>
      </c>
      <c r="J534" s="1690">
        <f t="shared" si="97"/>
        <v>0</v>
      </c>
      <c r="K534" s="1690">
        <f t="shared" si="97"/>
        <v>0</v>
      </c>
      <c r="L534" s="1690">
        <f t="shared" si="97"/>
        <v>0</v>
      </c>
      <c r="M534" s="1690">
        <f t="shared" si="97"/>
        <v>0</v>
      </c>
      <c r="N534" s="1690">
        <f t="shared" si="97"/>
        <v>0</v>
      </c>
      <c r="O534" s="1690"/>
      <c r="P534" s="1690"/>
      <c r="Q534" s="984"/>
      <c r="R534" s="984"/>
      <c r="S534" s="984"/>
      <c r="T534" s="1858">
        <f t="shared" si="90"/>
        <v>0</v>
      </c>
    </row>
    <row r="535" spans="1:20" ht="22.2" hidden="1" customHeight="1">
      <c r="A535" s="1444">
        <f>COUNTIF($C$12:C535,"x")</f>
        <v>29</v>
      </c>
      <c r="B535" s="1461" t="s">
        <v>639</v>
      </c>
      <c r="C535" s="60" t="str">
        <f t="shared" si="88"/>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90"/>
        <v>0</v>
      </c>
    </row>
    <row r="536" spans="1:20" ht="22.2" hidden="1" customHeight="1">
      <c r="A536" s="1444">
        <f>COUNTIF($C$12:C536,"x")</f>
        <v>29</v>
      </c>
      <c r="B536" s="1461" t="s">
        <v>21</v>
      </c>
      <c r="C536" s="60" t="str">
        <f t="shared" si="88"/>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90"/>
        <v>0</v>
      </c>
    </row>
    <row r="537" spans="1:20" ht="22.2" hidden="1" customHeight="1">
      <c r="A537" s="1444">
        <f>COUNTIF($C$12:C537,"x")</f>
        <v>29</v>
      </c>
      <c r="B537" s="1461" t="s">
        <v>1078</v>
      </c>
      <c r="C537" s="60" t="str">
        <f t="shared" si="88"/>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90"/>
        <v>0</v>
      </c>
    </row>
    <row r="538" spans="1:20" ht="22.2" hidden="1" customHeight="1">
      <c r="A538" s="1444">
        <f>COUNTIF($C$12:C538,"x")</f>
        <v>29</v>
      </c>
      <c r="B538" s="1461" t="s">
        <v>9</v>
      </c>
      <c r="C538" s="60" t="str">
        <f t="shared" si="88"/>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90"/>
        <v>0</v>
      </c>
    </row>
    <row r="539" spans="1:20" ht="22.2" hidden="1" customHeight="1">
      <c r="A539" s="1444">
        <f>COUNTIF($C$12:C539,"x")</f>
        <v>29</v>
      </c>
      <c r="B539" s="1461" t="s">
        <v>10</v>
      </c>
      <c r="C539" s="60" t="str">
        <f t="shared" si="88"/>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90"/>
        <v>0</v>
      </c>
    </row>
    <row r="540" spans="1:20" ht="22.2" hidden="1" customHeight="1">
      <c r="A540" s="1444">
        <f>COUNTIF($C$12:C540,"x")</f>
        <v>29</v>
      </c>
      <c r="B540" s="1449" t="s">
        <v>17</v>
      </c>
      <c r="C540" s="60" t="str">
        <f t="shared" si="88"/>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90"/>
        <v>0</v>
      </c>
    </row>
    <row r="541" spans="1:20" ht="22.2" hidden="1" customHeight="1">
      <c r="A541" s="1444">
        <f>COUNTIF($C$12:C541,"x")</f>
        <v>29</v>
      </c>
      <c r="B541" s="1449" t="s">
        <v>19</v>
      </c>
      <c r="C541" s="60" t="str">
        <f t="shared" si="88"/>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90"/>
        <v>0</v>
      </c>
    </row>
    <row r="542" spans="1:20" ht="22.2" hidden="1" customHeight="1">
      <c r="A542" s="1444">
        <f>COUNTIF($C$12:C542,"x")</f>
        <v>29</v>
      </c>
      <c r="B542" s="1449" t="s">
        <v>635</v>
      </c>
      <c r="C542" s="60" t="str">
        <f t="shared" si="88"/>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90"/>
        <v>0</v>
      </c>
    </row>
    <row r="543" spans="1:20" ht="22.2" hidden="1" customHeight="1">
      <c r="A543" s="1444">
        <f>COUNTIF($C$12:C543,"x")</f>
        <v>29</v>
      </c>
      <c r="B543" s="1448" t="s">
        <v>891</v>
      </c>
      <c r="C543" s="59" t="str">
        <f t="shared" si="88"/>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2" hidden="1" customHeight="1">
      <c r="A544" s="1444">
        <f>COUNTIF($C$12:C544,"x")</f>
        <v>29</v>
      </c>
      <c r="B544" s="1461" t="s">
        <v>1575</v>
      </c>
      <c r="C544" s="60" t="str">
        <f t="shared" si="88"/>
        <v xml:space="preserve"> </v>
      </c>
      <c r="D544" s="1414">
        <v>4</v>
      </c>
      <c r="E544" s="976" t="str">
        <f>VLOOKUP($B544,DG!A:D,DG!$B$2,)</f>
        <v>04.3801</v>
      </c>
      <c r="F544" s="986" t="str">
        <f>VLOOKUP($B544,DG!A:D,DG!$C$2,)</f>
        <v>Đà cản BTCT 1,5m</v>
      </c>
      <c r="G544" s="980" t="str">
        <f>VLOOKUP($B544,DG!A:D,DG!$D$2,)</f>
        <v>cái</v>
      </c>
      <c r="H544" s="1690">
        <f t="shared" ref="H544:N545" si="98">H$543*$D544</f>
        <v>0</v>
      </c>
      <c r="I544" s="1690">
        <f t="shared" si="98"/>
        <v>0</v>
      </c>
      <c r="J544" s="1690">
        <f t="shared" si="98"/>
        <v>0</v>
      </c>
      <c r="K544" s="1690">
        <f t="shared" si="98"/>
        <v>0</v>
      </c>
      <c r="L544" s="1690">
        <f t="shared" si="98"/>
        <v>0</v>
      </c>
      <c r="M544" s="1690">
        <f t="shared" si="98"/>
        <v>0</v>
      </c>
      <c r="N544" s="1690">
        <f t="shared" si="98"/>
        <v>0</v>
      </c>
      <c r="O544" s="1690"/>
      <c r="P544" s="1690"/>
      <c r="Q544" s="984"/>
      <c r="R544" s="984"/>
      <c r="S544" s="984"/>
      <c r="T544" s="1858">
        <f t="shared" si="90"/>
        <v>0</v>
      </c>
    </row>
    <row r="545" spans="1:20" ht="22.2" hidden="1" customHeight="1">
      <c r="A545" s="1444">
        <f>COUNTIF($C$12:C545,"x")</f>
        <v>29</v>
      </c>
      <c r="B545" s="1461" t="s">
        <v>416</v>
      </c>
      <c r="C545" s="60" t="str">
        <f t="shared" si="88"/>
        <v xml:space="preserve"> </v>
      </c>
      <c r="D545" s="1414">
        <v>4</v>
      </c>
      <c r="E545" s="976"/>
      <c r="F545" s="1271" t="str">
        <f>VLOOKUP($B545,DG!A:D,DG!$C$2,)</f>
        <v>Boulon 22x800+ 2 long đền vuông D24-50x50x3/Zn</v>
      </c>
      <c r="G545" s="980" t="str">
        <f>VLOOKUP($B545,DG!A:D,DG!$D$2,)</f>
        <v>bộ</v>
      </c>
      <c r="H545" s="1690">
        <f t="shared" si="98"/>
        <v>0</v>
      </c>
      <c r="I545" s="1690">
        <f t="shared" si="98"/>
        <v>0</v>
      </c>
      <c r="J545" s="1690">
        <f t="shared" si="98"/>
        <v>0</v>
      </c>
      <c r="K545" s="1690">
        <f t="shared" si="98"/>
        <v>0</v>
      </c>
      <c r="L545" s="1690">
        <f t="shared" si="98"/>
        <v>0</v>
      </c>
      <c r="M545" s="1690">
        <f t="shared" si="98"/>
        <v>0</v>
      </c>
      <c r="N545" s="1690">
        <f t="shared" si="98"/>
        <v>0</v>
      </c>
      <c r="O545" s="1690"/>
      <c r="P545" s="1690"/>
      <c r="Q545" s="984"/>
      <c r="R545" s="984"/>
      <c r="S545" s="984"/>
      <c r="T545" s="1858">
        <f t="shared" si="90"/>
        <v>0</v>
      </c>
    </row>
    <row r="546" spans="1:20" ht="22.2" hidden="1" customHeight="1">
      <c r="A546" s="1444">
        <f>COUNTIF($C$12:C546,"x")</f>
        <v>29</v>
      </c>
      <c r="B546" s="1461" t="s">
        <v>639</v>
      </c>
      <c r="C546" s="60" t="str">
        <f t="shared" si="88"/>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9">IFERROR(HLOOKUP(B546,BangKeTru,3,0),0)</f>
        <v>0</v>
      </c>
    </row>
    <row r="547" spans="1:20" ht="22.2" hidden="1" customHeight="1">
      <c r="A547" s="1444">
        <f>COUNTIF($C$12:C547,"x")</f>
        <v>29</v>
      </c>
      <c r="B547" s="1461" t="s">
        <v>21</v>
      </c>
      <c r="C547" s="60" t="str">
        <f t="shared" ref="C547:C610" si="100">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9"/>
        <v>0</v>
      </c>
    </row>
    <row r="548" spans="1:20" ht="22.2" hidden="1" customHeight="1">
      <c r="A548" s="1444">
        <f>COUNTIF($C$12:C548,"x")</f>
        <v>29</v>
      </c>
      <c r="B548" s="1461" t="s">
        <v>637</v>
      </c>
      <c r="C548" s="60" t="str">
        <f t="shared" si="100"/>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9"/>
        <v>0</v>
      </c>
    </row>
    <row r="549" spans="1:20" ht="22.2" hidden="1" customHeight="1">
      <c r="A549" s="1444">
        <f>COUNTIF($C$12:C549,"x")</f>
        <v>29</v>
      </c>
      <c r="B549" s="1449" t="s">
        <v>2063</v>
      </c>
      <c r="C549" s="60" t="str">
        <f t="shared" si="100"/>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9"/>
        <v>0</v>
      </c>
    </row>
    <row r="550" spans="1:20" ht="22.2" hidden="1" customHeight="1">
      <c r="A550" s="1444">
        <f>COUNTIF($C$12:C550,"x")</f>
        <v>29</v>
      </c>
      <c r="B550" s="1449" t="s">
        <v>635</v>
      </c>
      <c r="C550" s="60" t="str">
        <f t="shared" si="100"/>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9"/>
        <v>0</v>
      </c>
    </row>
    <row r="551" spans="1:20" ht="22.2" hidden="1" customHeight="1">
      <c r="A551" s="1444">
        <f>COUNTIF($C$12:C551,"x")</f>
        <v>29</v>
      </c>
      <c r="B551" s="1448" t="s">
        <v>513</v>
      </c>
      <c r="C551" s="59" t="str">
        <f t="shared" si="100"/>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2" hidden="1" customHeight="1">
      <c r="A552" s="1444">
        <f>COUNTIF($C$12:C552,"x")</f>
        <v>29</v>
      </c>
      <c r="B552" s="1449" t="s">
        <v>751</v>
      </c>
      <c r="C552" s="60" t="str">
        <f t="shared" si="100"/>
        <v xml:space="preserve"> </v>
      </c>
      <c r="D552" s="1412">
        <f>D565*P565+D566*P566</f>
        <v>0</v>
      </c>
      <c r="E552" s="976"/>
      <c r="F552" s="981" t="str">
        <f>VLOOKUP($B552,DG!A:D,DG!$C$2,)</f>
        <v>Ximăng (PC40)</v>
      </c>
      <c r="G552" s="980" t="str">
        <f>VLOOKUP($B552,DG!A:D,DG!$D$2,)</f>
        <v>kg</v>
      </c>
      <c r="H552" s="1689">
        <f t="shared" ref="H552:N554" si="101">H$551*$D552</f>
        <v>0</v>
      </c>
      <c r="I552" s="1689">
        <f t="shared" si="101"/>
        <v>0</v>
      </c>
      <c r="J552" s="1689">
        <f t="shared" si="101"/>
        <v>0</v>
      </c>
      <c r="K552" s="1689">
        <f t="shared" si="101"/>
        <v>0</v>
      </c>
      <c r="L552" s="1689">
        <f t="shared" si="101"/>
        <v>0</v>
      </c>
      <c r="M552" s="1689">
        <f t="shared" si="101"/>
        <v>0</v>
      </c>
      <c r="N552" s="1689">
        <f t="shared" si="101"/>
        <v>0</v>
      </c>
      <c r="O552" s="1689"/>
      <c r="P552" s="1689"/>
      <c r="Q552" s="985"/>
      <c r="R552" s="985"/>
      <c r="S552" s="985"/>
      <c r="T552" s="1858">
        <f t="shared" si="99"/>
        <v>0</v>
      </c>
    </row>
    <row r="553" spans="1:20" ht="22.2" hidden="1" customHeight="1">
      <c r="A553" s="1444">
        <f>COUNTIF($C$12:C553,"x")</f>
        <v>29</v>
      </c>
      <c r="B553" s="1450" t="s">
        <v>4412</v>
      </c>
      <c r="C553" s="60" t="str">
        <f t="shared" si="100"/>
        <v xml:space="preserve"> </v>
      </c>
      <c r="D553" s="1412">
        <f>D565*Q565+D566*Q566</f>
        <v>0</v>
      </c>
      <c r="E553" s="980"/>
      <c r="F553" s="981" t="str">
        <f>VLOOKUP($B553,DG!A:D,DG!$C$2,)</f>
        <v>Cát vàng</v>
      </c>
      <c r="G553" s="980" t="str">
        <f>VLOOKUP($B553,DG!A:D,DG!$D$2,)</f>
        <v>m3</v>
      </c>
      <c r="H553" s="1689">
        <f t="shared" si="101"/>
        <v>0</v>
      </c>
      <c r="I553" s="1689">
        <f t="shared" si="101"/>
        <v>0</v>
      </c>
      <c r="J553" s="1689">
        <f t="shared" si="101"/>
        <v>0</v>
      </c>
      <c r="K553" s="1689">
        <f t="shared" si="101"/>
        <v>0</v>
      </c>
      <c r="L553" s="1689">
        <f t="shared" si="101"/>
        <v>0</v>
      </c>
      <c r="M553" s="1689">
        <f t="shared" si="101"/>
        <v>0</v>
      </c>
      <c r="N553" s="1689">
        <f t="shared" si="101"/>
        <v>0</v>
      </c>
      <c r="O553" s="1689"/>
      <c r="P553" s="1689"/>
      <c r="Q553" s="985"/>
      <c r="R553" s="985"/>
      <c r="S553" s="985"/>
      <c r="T553" s="1858">
        <f t="shared" si="99"/>
        <v>0</v>
      </c>
    </row>
    <row r="554" spans="1:20" ht="22.2" hidden="1" customHeight="1">
      <c r="A554" s="1444">
        <f>COUNTIF($C$12:C554,"x")</f>
        <v>29</v>
      </c>
      <c r="B554" s="1449" t="s">
        <v>867</v>
      </c>
      <c r="C554" s="60" t="str">
        <f t="shared" si="100"/>
        <v xml:space="preserve"> </v>
      </c>
      <c r="D554" s="1412">
        <f>D566*R566</f>
        <v>0</v>
      </c>
      <c r="E554" s="980" t="s">
        <v>723</v>
      </c>
      <c r="F554" s="981" t="str">
        <f>VLOOKUP($B554,DG!A:D,DG!$C$2,)</f>
        <v>Đá 1x2</v>
      </c>
      <c r="G554" s="980" t="str">
        <f>VLOOKUP($B554,DG!A:D,DG!$D$2,)</f>
        <v>m3</v>
      </c>
      <c r="H554" s="1689">
        <f t="shared" si="101"/>
        <v>0</v>
      </c>
      <c r="I554" s="1689">
        <f t="shared" si="101"/>
        <v>0</v>
      </c>
      <c r="J554" s="1689">
        <f t="shared" si="101"/>
        <v>0</v>
      </c>
      <c r="K554" s="1689">
        <f t="shared" si="101"/>
        <v>0</v>
      </c>
      <c r="L554" s="1689">
        <f t="shared" si="101"/>
        <v>0</v>
      </c>
      <c r="M554" s="1689">
        <f t="shared" si="101"/>
        <v>0</v>
      </c>
      <c r="N554" s="1689">
        <f t="shared" si="101"/>
        <v>0</v>
      </c>
      <c r="O554" s="1689"/>
      <c r="P554" s="1689"/>
      <c r="Q554" s="985"/>
      <c r="R554" s="985"/>
      <c r="S554" s="985"/>
      <c r="T554" s="1858">
        <f t="shared" si="99"/>
        <v>0</v>
      </c>
    </row>
    <row r="555" spans="1:20" ht="22.2" hidden="1" customHeight="1">
      <c r="A555" s="1444">
        <f>COUNTIF($C$12:C555,"x")</f>
        <v>29</v>
      </c>
      <c r="B555" s="1449" t="s">
        <v>1979</v>
      </c>
      <c r="C555" s="60" t="str">
        <f t="shared" si="100"/>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9"/>
        <v>0</v>
      </c>
    </row>
    <row r="556" spans="1:20" ht="22.2" hidden="1" customHeight="1">
      <c r="A556" s="1444">
        <f>COUNTIF($C$12:C556,"x")</f>
        <v>29</v>
      </c>
      <c r="B556" s="1449" t="s">
        <v>1973</v>
      </c>
      <c r="C556" s="60" t="str">
        <f t="shared" si="100"/>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9"/>
        <v>0</v>
      </c>
    </row>
    <row r="557" spans="1:20" ht="22.2" hidden="1" customHeight="1">
      <c r="A557" s="1444">
        <f>COUNTIF($C$12:C557,"x")</f>
        <v>29</v>
      </c>
      <c r="B557" s="1449" t="s">
        <v>857</v>
      </c>
      <c r="C557" s="60" t="str">
        <f t="shared" si="100"/>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9"/>
        <v>0</v>
      </c>
    </row>
    <row r="558" spans="1:20" ht="22.2" hidden="1" customHeight="1">
      <c r="A558" s="1444">
        <f>COUNTIF($C$12:C558,"x")</f>
        <v>29</v>
      </c>
      <c r="B558" s="1449" t="s">
        <v>871</v>
      </c>
      <c r="C558" s="60" t="str">
        <f t="shared" si="100"/>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9"/>
        <v>0</v>
      </c>
    </row>
    <row r="559" spans="1:20" ht="22.2" hidden="1" customHeight="1">
      <c r="A559" s="1444">
        <f>COUNTIF($C$12:C559,"x")</f>
        <v>29</v>
      </c>
      <c r="B559" s="1449" t="s">
        <v>639</v>
      </c>
      <c r="C559" s="60" t="str">
        <f t="shared" si="100"/>
        <v xml:space="preserve"> </v>
      </c>
      <c r="D559" s="1409">
        <v>0.29599999999999999</v>
      </c>
      <c r="E559" s="980" t="s">
        <v>707</v>
      </c>
      <c r="F559" s="981" t="str">
        <f>VLOOKUP($B559,DG!A:D,DG!$C$2,)</f>
        <v>Đào hố móng đất cấp 3 sâu &gt;1m</v>
      </c>
      <c r="G559" s="980" t="str">
        <f>VLOOKUP($B559,DG!A:D,DG!$D$2,)</f>
        <v>m3</v>
      </c>
      <c r="H559" s="1689">
        <f t="shared" ref="H559:N560" si="102">H$551*$D559</f>
        <v>0</v>
      </c>
      <c r="I559" s="1689">
        <f t="shared" si="102"/>
        <v>0</v>
      </c>
      <c r="J559" s="1689">
        <f t="shared" si="102"/>
        <v>0</v>
      </c>
      <c r="K559" s="1689">
        <f t="shared" si="102"/>
        <v>0</v>
      </c>
      <c r="L559" s="1689">
        <f t="shared" si="102"/>
        <v>0</v>
      </c>
      <c r="M559" s="1689">
        <f t="shared" si="102"/>
        <v>0</v>
      </c>
      <c r="N559" s="1689">
        <f t="shared" si="102"/>
        <v>0</v>
      </c>
      <c r="O559" s="1689"/>
      <c r="P559" s="1689"/>
      <c r="Q559" s="985"/>
      <c r="R559" s="985"/>
      <c r="S559" s="985"/>
      <c r="T559" s="1858">
        <f t="shared" si="99"/>
        <v>0</v>
      </c>
    </row>
    <row r="560" spans="1:20" ht="22.2" hidden="1" customHeight="1">
      <c r="A560" s="1444">
        <f>COUNTIF($C$12:C560,"x")</f>
        <v>29</v>
      </c>
      <c r="B560" s="1449" t="s">
        <v>21</v>
      </c>
      <c r="C560" s="60" t="str">
        <f t="shared" si="100"/>
        <v xml:space="preserve"> </v>
      </c>
      <c r="D560" s="1409">
        <v>0.218</v>
      </c>
      <c r="E560" s="980" t="s">
        <v>22</v>
      </c>
      <c r="F560" s="981" t="str">
        <f>VLOOKUP($B560,DG!A:D,DG!$C$2,)</f>
        <v>Đắp đất hố móng, độ chặt k=0,95</v>
      </c>
      <c r="G560" s="980" t="str">
        <f>VLOOKUP($B560,DG!A:D,DG!$D$2,)</f>
        <v>m3</v>
      </c>
      <c r="H560" s="1689">
        <f t="shared" si="102"/>
        <v>0</v>
      </c>
      <c r="I560" s="1689">
        <f t="shared" si="102"/>
        <v>0</v>
      </c>
      <c r="J560" s="1689">
        <f t="shared" si="102"/>
        <v>0</v>
      </c>
      <c r="K560" s="1689">
        <f t="shared" si="102"/>
        <v>0</v>
      </c>
      <c r="L560" s="1689">
        <f t="shared" si="102"/>
        <v>0</v>
      </c>
      <c r="M560" s="1689">
        <f t="shared" si="102"/>
        <v>0</v>
      </c>
      <c r="N560" s="1689">
        <f t="shared" si="102"/>
        <v>0</v>
      </c>
      <c r="O560" s="1689"/>
      <c r="P560" s="1689"/>
      <c r="Q560" s="985"/>
      <c r="R560" s="985"/>
      <c r="S560" s="985"/>
      <c r="T560" s="1858">
        <f t="shared" si="99"/>
        <v>0</v>
      </c>
    </row>
    <row r="561" spans="1:20" ht="22.2" hidden="1" customHeight="1">
      <c r="A561" s="1444">
        <f>COUNTIF($C$12:C561,"x")</f>
        <v>29</v>
      </c>
      <c r="B561" s="1449" t="s">
        <v>495</v>
      </c>
      <c r="C561" s="60" t="str">
        <f t="shared" si="100"/>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9"/>
        <v>0</v>
      </c>
    </row>
    <row r="562" spans="1:20" ht="22.2" hidden="1" customHeight="1">
      <c r="A562" s="1444">
        <f>COUNTIF($C$12:C562,"x")</f>
        <v>29</v>
      </c>
      <c r="B562" s="1449" t="s">
        <v>1611</v>
      </c>
      <c r="C562" s="60" t="str">
        <f t="shared" si="100"/>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9"/>
        <v>0</v>
      </c>
    </row>
    <row r="563" spans="1:20" ht="22.2" hidden="1" customHeight="1">
      <c r="A563" s="1444">
        <f>COUNTIF($C$12:C563,"x")</f>
        <v>29</v>
      </c>
      <c r="B563" s="1449" t="s">
        <v>521</v>
      </c>
      <c r="C563" s="60" t="str">
        <f t="shared" si="100"/>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9"/>
        <v>0</v>
      </c>
    </row>
    <row r="564" spans="1:20" ht="22.2" hidden="1" customHeight="1">
      <c r="A564" s="1444">
        <f>COUNTIF($C$12:C564,"x")</f>
        <v>29</v>
      </c>
      <c r="B564" s="1449" t="s">
        <v>9</v>
      </c>
      <c r="C564" s="60" t="str">
        <f t="shared" si="100"/>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9"/>
        <v>0</v>
      </c>
    </row>
    <row r="565" spans="1:20" ht="22.2" hidden="1" customHeight="1">
      <c r="A565" s="1444">
        <f>COUNTIF($C$12:C565,"x")</f>
        <v>29</v>
      </c>
      <c r="B565" s="1449" t="s">
        <v>1955</v>
      </c>
      <c r="C565" s="60" t="str">
        <f t="shared" si="100"/>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9"/>
        <v>0</v>
      </c>
    </row>
    <row r="566" spans="1:20" ht="22.2" hidden="1" customHeight="1">
      <c r="A566" s="1444">
        <f>COUNTIF($C$12:C566,"x")</f>
        <v>29</v>
      </c>
      <c r="B566" s="1449" t="s">
        <v>1836</v>
      </c>
      <c r="C566" s="60" t="str">
        <f t="shared" si="100"/>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9"/>
        <v>0</v>
      </c>
    </row>
    <row r="567" spans="1:20" ht="22.2" hidden="1" customHeight="1">
      <c r="A567" s="1444">
        <f>COUNTIF($C$12:C567,"x")</f>
        <v>29</v>
      </c>
      <c r="B567" s="1448" t="s">
        <v>549</v>
      </c>
      <c r="C567" s="59" t="str">
        <f t="shared" si="100"/>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2" hidden="1" customHeight="1">
      <c r="A568" s="1444">
        <f>COUNTIF($C$12:C568,"x")</f>
        <v>29</v>
      </c>
      <c r="B568" s="1449" t="s">
        <v>751</v>
      </c>
      <c r="C568" s="60" t="str">
        <f t="shared" si="100"/>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9"/>
        <v>0</v>
      </c>
    </row>
    <row r="569" spans="1:20" ht="22.2" hidden="1" customHeight="1">
      <c r="A569" s="1444">
        <f>COUNTIF($C$12:C569,"x")</f>
        <v>29</v>
      </c>
      <c r="B569" s="1450" t="s">
        <v>4412</v>
      </c>
      <c r="C569" s="60" t="str">
        <f t="shared" si="100"/>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9"/>
        <v>0</v>
      </c>
    </row>
    <row r="570" spans="1:20" ht="22.2" hidden="1" customHeight="1">
      <c r="A570" s="1444">
        <f>COUNTIF($C$12:C570,"x")</f>
        <v>29</v>
      </c>
      <c r="B570" s="1449" t="s">
        <v>867</v>
      </c>
      <c r="C570" s="60" t="str">
        <f t="shared" si="100"/>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9"/>
        <v>0</v>
      </c>
    </row>
    <row r="571" spans="1:20" ht="22.2" hidden="1" customHeight="1">
      <c r="A571" s="1444">
        <f>COUNTIF($C$12:C571,"x")</f>
        <v>29</v>
      </c>
      <c r="B571" s="1449" t="s">
        <v>1979</v>
      </c>
      <c r="C571" s="60" t="str">
        <f t="shared" si="100"/>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9"/>
        <v>0</v>
      </c>
    </row>
    <row r="572" spans="1:20" ht="22.2" hidden="1" customHeight="1">
      <c r="A572" s="1444">
        <f>COUNTIF($C$12:C572,"x")</f>
        <v>29</v>
      </c>
      <c r="B572" s="1449" t="s">
        <v>1973</v>
      </c>
      <c r="C572" s="60" t="str">
        <f t="shared" si="100"/>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9"/>
        <v>0</v>
      </c>
    </row>
    <row r="573" spans="1:20" ht="22.2" hidden="1" customHeight="1">
      <c r="A573" s="1444">
        <f>COUNTIF($C$12:C573,"x")</f>
        <v>29</v>
      </c>
      <c r="B573" s="1449" t="s">
        <v>857</v>
      </c>
      <c r="C573" s="60" t="str">
        <f t="shared" si="100"/>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9"/>
        <v>0</v>
      </c>
    </row>
    <row r="574" spans="1:20" ht="22.2" hidden="1" customHeight="1">
      <c r="A574" s="1444">
        <f>COUNTIF($C$12:C574,"x")</f>
        <v>29</v>
      </c>
      <c r="B574" s="1449" t="s">
        <v>871</v>
      </c>
      <c r="C574" s="60" t="str">
        <f t="shared" si="100"/>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9"/>
        <v>0</v>
      </c>
    </row>
    <row r="575" spans="1:20" ht="22.2" hidden="1" customHeight="1">
      <c r="A575" s="1444">
        <f>COUNTIF($C$12:C575,"x")</f>
        <v>29</v>
      </c>
      <c r="B575" s="1449" t="s">
        <v>639</v>
      </c>
      <c r="C575" s="60" t="str">
        <f t="shared" si="100"/>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9"/>
        <v>0</v>
      </c>
    </row>
    <row r="576" spans="1:20" ht="22.2" hidden="1" customHeight="1">
      <c r="A576" s="1444">
        <f>COUNTIF($C$12:C576,"x")</f>
        <v>29</v>
      </c>
      <c r="B576" s="1449" t="s">
        <v>21</v>
      </c>
      <c r="C576" s="60" t="str">
        <f t="shared" si="100"/>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9"/>
        <v>0</v>
      </c>
    </row>
    <row r="577" spans="1:20" ht="22.2" hidden="1" customHeight="1">
      <c r="A577" s="1444">
        <f>COUNTIF($C$12:C577,"x")</f>
        <v>29</v>
      </c>
      <c r="B577" s="1449" t="s">
        <v>495</v>
      </c>
      <c r="C577" s="60" t="str">
        <f t="shared" si="100"/>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9"/>
        <v>0</v>
      </c>
    </row>
    <row r="578" spans="1:20" ht="22.2" hidden="1" customHeight="1">
      <c r="A578" s="1444">
        <f>COUNTIF($C$12:C578,"x")</f>
        <v>29</v>
      </c>
      <c r="B578" s="1449" t="s">
        <v>1611</v>
      </c>
      <c r="C578" s="60" t="str">
        <f t="shared" si="100"/>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9"/>
        <v>0</v>
      </c>
    </row>
    <row r="579" spans="1:20" ht="22.2" hidden="1" customHeight="1">
      <c r="A579" s="1444">
        <f>COUNTIF($C$12:C579,"x")</f>
        <v>29</v>
      </c>
      <c r="B579" s="1449" t="s">
        <v>521</v>
      </c>
      <c r="C579" s="60" t="str">
        <f t="shared" si="100"/>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9"/>
        <v>0</v>
      </c>
    </row>
    <row r="580" spans="1:20" ht="22.2" hidden="1" customHeight="1">
      <c r="A580" s="1444">
        <f>COUNTIF($C$12:C580,"x")</f>
        <v>29</v>
      </c>
      <c r="B580" s="1449" t="s">
        <v>9</v>
      </c>
      <c r="C580" s="60" t="str">
        <f t="shared" si="100"/>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9"/>
        <v>0</v>
      </c>
    </row>
    <row r="581" spans="1:20" ht="22.2" hidden="1" customHeight="1">
      <c r="A581" s="1444">
        <f>COUNTIF($C$12:C581,"x")</f>
        <v>29</v>
      </c>
      <c r="B581" s="1449" t="s">
        <v>1955</v>
      </c>
      <c r="C581" s="60" t="str">
        <f t="shared" si="100"/>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9"/>
        <v>0</v>
      </c>
    </row>
    <row r="582" spans="1:20" ht="22.2" hidden="1" customHeight="1">
      <c r="A582" s="1444">
        <f>COUNTIF($C$12:C582,"x")</f>
        <v>29</v>
      </c>
      <c r="B582" s="1449" t="s">
        <v>1836</v>
      </c>
      <c r="C582" s="60" t="str">
        <f t="shared" si="100"/>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9"/>
        <v>0</v>
      </c>
    </row>
    <row r="583" spans="1:20" ht="22.2" hidden="1" customHeight="1">
      <c r="A583" s="1444">
        <f>COUNTIF($C$12:C583,"x")</f>
        <v>29</v>
      </c>
      <c r="B583" s="1448" t="s">
        <v>1562</v>
      </c>
      <c r="C583" s="59" t="str">
        <f t="shared" si="100"/>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2" hidden="1" customHeight="1">
      <c r="A584" s="1444">
        <f>COUNTIF($C$12:C584,"x")</f>
        <v>29</v>
      </c>
      <c r="B584" s="1451" t="s">
        <v>103</v>
      </c>
      <c r="C584" s="60" t="str">
        <f t="shared" si="100"/>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3">M$583*$D584</f>
        <v>0</v>
      </c>
      <c r="N584" s="1689">
        <f t="shared" si="103"/>
        <v>0</v>
      </c>
      <c r="O584" s="1689">
        <f t="shared" si="103"/>
        <v>0</v>
      </c>
      <c r="P584" s="1689">
        <f>$P$583*D584</f>
        <v>0</v>
      </c>
      <c r="Q584" s="985"/>
      <c r="R584" s="985"/>
      <c r="S584" s="985"/>
      <c r="T584" s="1858">
        <f t="shared" si="99"/>
        <v>0</v>
      </c>
    </row>
    <row r="585" spans="1:20" ht="22.2" hidden="1" customHeight="1">
      <c r="A585" s="1444">
        <f>COUNTIF($C$12:C585,"x")</f>
        <v>29</v>
      </c>
      <c r="B585" s="1451" t="s">
        <v>1508</v>
      </c>
      <c r="C585" s="60" t="str">
        <f t="shared" si="100"/>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3"/>
        <v>0</v>
      </c>
      <c r="N585" s="1689">
        <f t="shared" si="103"/>
        <v>0</v>
      </c>
      <c r="O585" s="1689">
        <f t="shared" si="103"/>
        <v>0</v>
      </c>
      <c r="P585" s="1689">
        <f>$P$583*D585</f>
        <v>0</v>
      </c>
      <c r="Q585" s="985"/>
      <c r="R585" s="985"/>
      <c r="S585" s="985"/>
      <c r="T585" s="1858">
        <f t="shared" si="99"/>
        <v>0</v>
      </c>
    </row>
    <row r="586" spans="1:20" ht="22.2" hidden="1" customHeight="1">
      <c r="A586" s="1444">
        <f>COUNTIF($C$12:C586,"x")</f>
        <v>29</v>
      </c>
      <c r="B586" s="1451" t="s">
        <v>2201</v>
      </c>
      <c r="C586" s="60" t="str">
        <f t="shared" si="100"/>
        <v xml:space="preserve"> </v>
      </c>
      <c r="D586" s="1411">
        <v>0</v>
      </c>
      <c r="E586" s="976"/>
      <c r="F586" s="988" t="s">
        <v>2386</v>
      </c>
      <c r="G586" s="976" t="str">
        <f>VLOOKUP($B586,DG!A:D,DG!$D$2,)</f>
        <v>cái</v>
      </c>
      <c r="H586" s="1689">
        <f>H$583*$D586</f>
        <v>0</v>
      </c>
      <c r="I586" s="1689"/>
      <c r="J586" s="1689"/>
      <c r="K586" s="1689"/>
      <c r="L586" s="1689"/>
      <c r="M586" s="1689">
        <f t="shared" si="103"/>
        <v>0</v>
      </c>
      <c r="N586" s="1689">
        <f t="shared" si="103"/>
        <v>0</v>
      </c>
      <c r="O586" s="1689">
        <f t="shared" si="103"/>
        <v>0</v>
      </c>
      <c r="P586" s="1689"/>
      <c r="Q586" s="985"/>
      <c r="R586" s="985"/>
      <c r="S586" s="985"/>
      <c r="T586" s="1858">
        <f t="shared" si="99"/>
        <v>0</v>
      </c>
    </row>
    <row r="587" spans="1:20" ht="22.2" hidden="1" customHeight="1">
      <c r="A587" s="1444">
        <f>COUNTIF($C$12:C587,"x")</f>
        <v>29</v>
      </c>
      <c r="B587" s="1451" t="s">
        <v>1517</v>
      </c>
      <c r="C587" s="60" t="str">
        <f t="shared" si="100"/>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9"/>
        <v>0</v>
      </c>
    </row>
    <row r="588" spans="1:20" ht="22.2" hidden="1" customHeight="1">
      <c r="A588" s="1444">
        <f>COUNTIF($C$12:C588,"x")</f>
        <v>29</v>
      </c>
      <c r="B588" s="1451" t="s">
        <v>1104</v>
      </c>
      <c r="C588" s="60" t="str">
        <f t="shared" si="100"/>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9"/>
        <v>0</v>
      </c>
    </row>
    <row r="589" spans="1:20" ht="22.2" hidden="1" customHeight="1">
      <c r="A589" s="1444">
        <f>COUNTIF($C$12:C589,"x")</f>
        <v>29</v>
      </c>
      <c r="B589" s="1451" t="s">
        <v>1902</v>
      </c>
      <c r="C589" s="60" t="str">
        <f t="shared" si="100"/>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9"/>
        <v>0</v>
      </c>
    </row>
    <row r="590" spans="1:20" ht="22.2" hidden="1" customHeight="1">
      <c r="A590" s="1444">
        <f>COUNTIF($C$12:C590,"x")</f>
        <v>29</v>
      </c>
      <c r="B590" s="1460" t="s">
        <v>1903</v>
      </c>
      <c r="C590" s="60" t="str">
        <f t="shared" si="100"/>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9"/>
        <v>0</v>
      </c>
    </row>
    <row r="591" spans="1:20" ht="22.2" hidden="1" customHeight="1">
      <c r="A591" s="1444">
        <f>COUNTIF($C$12:C591,"x")</f>
        <v>29</v>
      </c>
      <c r="B591" s="1448" t="s">
        <v>1563</v>
      </c>
      <c r="C591" s="59" t="str">
        <f t="shared" si="100"/>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2" hidden="1" customHeight="1">
      <c r="A592" s="1444">
        <f>COUNTIF($C$12:C592,"x")</f>
        <v>29</v>
      </c>
      <c r="B592" s="1451" t="s">
        <v>103</v>
      </c>
      <c r="C592" s="60" t="str">
        <f t="shared" si="100"/>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4">M$591*$D592</f>
        <v>0</v>
      </c>
      <c r="N592" s="1689">
        <f t="shared" si="104"/>
        <v>0</v>
      </c>
      <c r="O592" s="1689">
        <f t="shared" si="104"/>
        <v>0</v>
      </c>
      <c r="P592" s="1689"/>
      <c r="Q592" s="985"/>
      <c r="R592" s="985"/>
      <c r="S592" s="985"/>
      <c r="T592" s="1858">
        <f t="shared" si="99"/>
        <v>0</v>
      </c>
    </row>
    <row r="593" spans="1:20" ht="22.2" hidden="1" customHeight="1">
      <c r="A593" s="1444">
        <f>COUNTIF($C$12:C593,"x")</f>
        <v>29</v>
      </c>
      <c r="B593" s="1451" t="s">
        <v>1508</v>
      </c>
      <c r="C593" s="60" t="str">
        <f t="shared" si="100"/>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4"/>
        <v>0</v>
      </c>
      <c r="N593" s="1689">
        <f t="shared" si="104"/>
        <v>0</v>
      </c>
      <c r="O593" s="1689">
        <f t="shared" si="104"/>
        <v>0</v>
      </c>
      <c r="P593" s="1689"/>
      <c r="Q593" s="985"/>
      <c r="R593" s="985"/>
      <c r="S593" s="985"/>
      <c r="T593" s="1858">
        <f t="shared" si="99"/>
        <v>0</v>
      </c>
    </row>
    <row r="594" spans="1:20" ht="22.2" hidden="1" customHeight="1">
      <c r="A594" s="1444">
        <f>COUNTIF($C$12:C594,"x")</f>
        <v>29</v>
      </c>
      <c r="B594" s="1451" t="s">
        <v>531</v>
      </c>
      <c r="C594" s="60" t="str">
        <f t="shared" si="100"/>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4"/>
        <v>0</v>
      </c>
      <c r="N594" s="1689">
        <f t="shared" si="104"/>
        <v>0</v>
      </c>
      <c r="O594" s="1689">
        <f t="shared" si="104"/>
        <v>0</v>
      </c>
      <c r="P594" s="1689"/>
      <c r="Q594" s="985"/>
      <c r="R594" s="985"/>
      <c r="S594" s="985"/>
      <c r="T594" s="1858">
        <f t="shared" si="99"/>
        <v>0</v>
      </c>
    </row>
    <row r="595" spans="1:20" ht="22.2" hidden="1" customHeight="1">
      <c r="A595" s="1444">
        <f>COUNTIF($C$12:C595,"x")</f>
        <v>29</v>
      </c>
      <c r="B595" s="1451" t="s">
        <v>1052</v>
      </c>
      <c r="C595" s="60" t="str">
        <f t="shared" si="100"/>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9"/>
        <v>0</v>
      </c>
    </row>
    <row r="596" spans="1:20" ht="22.2" hidden="1" customHeight="1">
      <c r="A596" s="1444">
        <f>COUNTIF($C$12:C596,"x")</f>
        <v>29</v>
      </c>
      <c r="B596" s="1451" t="s">
        <v>2019</v>
      </c>
      <c r="C596" s="60" t="str">
        <f t="shared" si="100"/>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9"/>
        <v>0</v>
      </c>
    </row>
    <row r="597" spans="1:20" ht="22.2" hidden="1" customHeight="1">
      <c r="A597" s="1444">
        <f>COUNTIF($C$12:C597,"x")</f>
        <v>29</v>
      </c>
      <c r="B597" s="1451" t="s">
        <v>1517</v>
      </c>
      <c r="C597" s="60" t="str">
        <f t="shared" si="100"/>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9"/>
        <v>0</v>
      </c>
    </row>
    <row r="598" spans="1:20" ht="22.2" hidden="1" customHeight="1">
      <c r="A598" s="1444">
        <f>COUNTIF($C$12:C598,"x")</f>
        <v>29</v>
      </c>
      <c r="B598" s="1451" t="s">
        <v>1104</v>
      </c>
      <c r="C598" s="60" t="str">
        <f t="shared" si="100"/>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9"/>
        <v>0</v>
      </c>
    </row>
    <row r="599" spans="1:20" ht="22.2" hidden="1" customHeight="1">
      <c r="A599" s="1444">
        <f>COUNTIF($C$12:C599,"x")</f>
        <v>29</v>
      </c>
      <c r="B599" s="1451" t="s">
        <v>1902</v>
      </c>
      <c r="C599" s="60" t="str">
        <f t="shared" si="100"/>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9"/>
        <v>0</v>
      </c>
    </row>
    <row r="600" spans="1:20" ht="22.2" hidden="1" customHeight="1">
      <c r="A600" s="1444">
        <f>COUNTIF($C$12:C600,"x")</f>
        <v>29</v>
      </c>
      <c r="B600" s="1460" t="s">
        <v>1903</v>
      </c>
      <c r="C600" s="60" t="str">
        <f t="shared" si="100"/>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9"/>
        <v>0</v>
      </c>
    </row>
    <row r="601" spans="1:20" ht="22.2" hidden="1" customHeight="1">
      <c r="A601" s="1444">
        <f>COUNTIF($C$12:C601,"x")</f>
        <v>29</v>
      </c>
      <c r="B601" s="1448" t="s">
        <v>5</v>
      </c>
      <c r="C601" s="59" t="str">
        <f t="shared" si="100"/>
        <v xml:space="preserve"> </v>
      </c>
      <c r="D601" s="1408"/>
      <c r="E601" s="977"/>
      <c r="F601" s="1272" t="s">
        <v>4548</v>
      </c>
      <c r="G601" s="978" t="s">
        <v>2385</v>
      </c>
      <c r="H601" s="1687">
        <f>SUM(I601:O601)</f>
        <v>0</v>
      </c>
      <c r="I601" s="1688"/>
      <c r="J601" s="1688"/>
      <c r="K601" s="1688">
        <f>IFERROR(HLOOKUP(B601,pp3p1m!$1:$3,2,0),0)</f>
        <v>0</v>
      </c>
      <c r="L601" s="1688">
        <f>IFERROR(HLOOKUP(chitiet!B601,pp1p!$1:$3,3,0),0)</f>
        <v>0</v>
      </c>
      <c r="M601" s="1688"/>
      <c r="N601" s="1688"/>
      <c r="O601" s="1688"/>
      <c r="P601" s="2663">
        <f>T601</f>
        <v>0</v>
      </c>
      <c r="Q601" s="979">
        <f>IF(P601&gt;H601,P601-H601,0)</f>
        <v>0</v>
      </c>
      <c r="R601" s="979">
        <f>IF(H601&gt;P601,H601-P601,0)</f>
        <v>0</v>
      </c>
      <c r="S601" s="979"/>
      <c r="T601" s="1858">
        <f>IFERROR(HLOOKUP(B601,pp1p!$1:$3,3,0),0)+IFERROR(HLOOKUP(B601,pp3p1m!$1:$3,3,0),0)</f>
        <v>0</v>
      </c>
    </row>
    <row r="602" spans="1:20" ht="22.2" hidden="1" customHeight="1">
      <c r="A602" s="1444">
        <f>COUNTIF($C$12:C602,"x")</f>
        <v>29</v>
      </c>
      <c r="B602" s="1451" t="s">
        <v>103</v>
      </c>
      <c r="C602" s="60" t="str">
        <f t="shared" si="100"/>
        <v xml:space="preserve"> </v>
      </c>
      <c r="D602" s="1410">
        <f>8*0.224</f>
        <v>1.792</v>
      </c>
      <c r="E602" s="976"/>
      <c r="F602" s="988" t="str">
        <f>VLOOKUP($B602,DG!A:D,DG!$C$2,)&amp;" : 8m"</f>
        <v>Cáp đồng trần M25mm2 : 8m</v>
      </c>
      <c r="G602" s="976" t="str">
        <f>VLOOKUP($B602,DG!A:D,DG!$D$2,)</f>
        <v>kg</v>
      </c>
      <c r="H602" s="1689">
        <f t="shared" ref="H602:H608" si="105">H$601*$D602</f>
        <v>0</v>
      </c>
      <c r="I602" s="1689"/>
      <c r="J602" s="1689"/>
      <c r="K602" s="1689"/>
      <c r="L602" s="1689"/>
      <c r="M602" s="1689">
        <f t="shared" ref="M602:O604" si="106">M$591*$D602</f>
        <v>0</v>
      </c>
      <c r="N602" s="1689">
        <f t="shared" si="106"/>
        <v>0</v>
      </c>
      <c r="O602" s="1689">
        <f t="shared" si="106"/>
        <v>0</v>
      </c>
      <c r="P602" s="1688">
        <f>H602+Q602-R602</f>
        <v>0</v>
      </c>
      <c r="Q602" s="991"/>
      <c r="R602" s="991"/>
      <c r="S602" s="991"/>
      <c r="T602" s="1858">
        <f t="shared" si="99"/>
        <v>0</v>
      </c>
    </row>
    <row r="603" spans="1:20" ht="22.2" hidden="1" customHeight="1">
      <c r="A603" s="1444">
        <f>COUNTIF($C$12:C603,"x")</f>
        <v>29</v>
      </c>
      <c r="B603" s="1451" t="s">
        <v>1508</v>
      </c>
      <c r="C603" s="60" t="str">
        <f t="shared" si="100"/>
        <v xml:space="preserve"> </v>
      </c>
      <c r="D603" s="1411">
        <v>1</v>
      </c>
      <c r="E603" s="976"/>
      <c r="F603" s="988" t="str">
        <f>VLOOKUP($B603,DG!A:D,DG!$C$2,)</f>
        <v>Cọc tiếp đất Þ 16- 2,4m + kẹp cọc mạ đồng</v>
      </c>
      <c r="G603" s="976" t="str">
        <f>VLOOKUP($B603,DG!A:D,DG!$D$2,)</f>
        <v>bộ</v>
      </c>
      <c r="H603" s="1689">
        <f t="shared" si="105"/>
        <v>0</v>
      </c>
      <c r="I603" s="1689"/>
      <c r="J603" s="1689"/>
      <c r="K603" s="1689"/>
      <c r="L603" s="1689"/>
      <c r="M603" s="1689">
        <f t="shared" si="106"/>
        <v>0</v>
      </c>
      <c r="N603" s="1689">
        <f t="shared" si="106"/>
        <v>0</v>
      </c>
      <c r="O603" s="1689">
        <f t="shared" si="106"/>
        <v>0</v>
      </c>
      <c r="P603" s="1688">
        <f>H603+Q603-R603</f>
        <v>0</v>
      </c>
      <c r="Q603" s="985"/>
      <c r="R603" s="985"/>
      <c r="S603" s="985"/>
      <c r="T603" s="1858">
        <f t="shared" si="99"/>
        <v>0</v>
      </c>
    </row>
    <row r="604" spans="1:20" ht="22.2" hidden="1" customHeight="1">
      <c r="A604" s="1444">
        <f>COUNTIF($C$12:C604,"x")</f>
        <v>29</v>
      </c>
      <c r="B604" s="1451" t="s">
        <v>2201</v>
      </c>
      <c r="C604" s="60" t="str">
        <f t="shared" si="100"/>
        <v xml:space="preserve"> </v>
      </c>
      <c r="D604" s="1411">
        <v>1</v>
      </c>
      <c r="E604" s="976"/>
      <c r="F604" s="988" t="s">
        <v>2386</v>
      </c>
      <c r="G604" s="976" t="str">
        <f>VLOOKUP($B604,DG!A:D,DG!$D$2,)</f>
        <v>cái</v>
      </c>
      <c r="H604" s="1689">
        <f t="shared" si="105"/>
        <v>0</v>
      </c>
      <c r="I604" s="1689"/>
      <c r="J604" s="1689"/>
      <c r="K604" s="1689"/>
      <c r="L604" s="1689"/>
      <c r="M604" s="1689">
        <f t="shared" si="106"/>
        <v>0</v>
      </c>
      <c r="N604" s="1689">
        <f t="shared" si="106"/>
        <v>0</v>
      </c>
      <c r="O604" s="1689">
        <f t="shared" si="106"/>
        <v>0</v>
      </c>
      <c r="P604" s="1688">
        <f>H604+Q604-R604</f>
        <v>0</v>
      </c>
      <c r="Q604" s="985"/>
      <c r="R604" s="985"/>
      <c r="S604" s="985"/>
      <c r="T604" s="1858">
        <f t="shared" si="99"/>
        <v>0</v>
      </c>
    </row>
    <row r="605" spans="1:20" ht="22.2" hidden="1" customHeight="1">
      <c r="A605" s="1444">
        <f>COUNTIF($C$12:C605,"x")</f>
        <v>29</v>
      </c>
      <c r="B605" s="1451" t="s">
        <v>1052</v>
      </c>
      <c r="C605" s="60" t="str">
        <f t="shared" si="100"/>
        <v xml:space="preserve"> </v>
      </c>
      <c r="D605" s="1411">
        <v>2</v>
      </c>
      <c r="E605" s="976"/>
      <c r="F605" s="988" t="str">
        <f>VLOOKUP($B605,DG!A:D,DG!C$2,)</f>
        <v>Đầu cosse ép Cu 25mm2</v>
      </c>
      <c r="G605" s="976" t="str">
        <f>VLOOKUP($B605,DG!A:D,DG!$D$2,)</f>
        <v>cái</v>
      </c>
      <c r="H605" s="1689">
        <f t="shared" si="105"/>
        <v>0</v>
      </c>
      <c r="I605" s="1689">
        <f t="shared" ref="I605:O606" si="107">I$629*$D605</f>
        <v>0</v>
      </c>
      <c r="J605" s="1689">
        <f t="shared" si="107"/>
        <v>0</v>
      </c>
      <c r="K605" s="1689">
        <f t="shared" si="107"/>
        <v>2</v>
      </c>
      <c r="L605" s="1689">
        <f t="shared" si="107"/>
        <v>0</v>
      </c>
      <c r="M605" s="1689">
        <f t="shared" si="107"/>
        <v>0</v>
      </c>
      <c r="N605" s="1689">
        <f t="shared" si="107"/>
        <v>0</v>
      </c>
      <c r="O605" s="1689">
        <f t="shared" si="107"/>
        <v>0</v>
      </c>
      <c r="P605" s="1689">
        <f>$P$601*D605</f>
        <v>0</v>
      </c>
      <c r="Q605" s="985"/>
      <c r="R605" s="985"/>
      <c r="S605" s="985"/>
      <c r="T605" s="1858">
        <f t="shared" si="99"/>
        <v>0</v>
      </c>
    </row>
    <row r="606" spans="1:20" ht="22.2" hidden="1" customHeight="1">
      <c r="A606" s="1444">
        <f>COUNTIF($C$12:C606,"x")</f>
        <v>29</v>
      </c>
      <c r="B606" s="1451" t="s">
        <v>2019</v>
      </c>
      <c r="C606" s="60" t="str">
        <f t="shared" si="100"/>
        <v xml:space="preserve"> </v>
      </c>
      <c r="D606" s="1411">
        <v>2</v>
      </c>
      <c r="E606" s="976"/>
      <c r="F606" s="988" t="str">
        <f>VLOOKUP($B606,DG!A:D,DG!C$2,)</f>
        <v>Boulon 12x40+ 2 long đền vuông D14-50x50x3/Zn</v>
      </c>
      <c r="G606" s="976" t="str">
        <f>VLOOKUP($B606,DG!A:D,DG!$D$2,)</f>
        <v>bộ</v>
      </c>
      <c r="H606" s="1689">
        <f t="shared" si="105"/>
        <v>0</v>
      </c>
      <c r="I606" s="1689">
        <f t="shared" si="107"/>
        <v>0</v>
      </c>
      <c r="J606" s="1689">
        <f t="shared" si="107"/>
        <v>0</v>
      </c>
      <c r="K606" s="1689">
        <f t="shared" si="107"/>
        <v>2</v>
      </c>
      <c r="L606" s="1689">
        <f t="shared" si="107"/>
        <v>0</v>
      </c>
      <c r="M606" s="1689">
        <f t="shared" si="107"/>
        <v>0</v>
      </c>
      <c r="N606" s="1689">
        <f t="shared" si="107"/>
        <v>0</v>
      </c>
      <c r="O606" s="1689">
        <f t="shared" si="107"/>
        <v>0</v>
      </c>
      <c r="P606" s="1689">
        <f>$P$601*D606</f>
        <v>0</v>
      </c>
      <c r="Q606" s="985"/>
      <c r="R606" s="985"/>
      <c r="S606" s="985"/>
      <c r="T606" s="1858">
        <f t="shared" si="99"/>
        <v>0</v>
      </c>
    </row>
    <row r="607" spans="1:20" ht="22.2" hidden="1" customHeight="1">
      <c r="A607" s="1444">
        <f>COUNTIF($C$12:C607,"x")</f>
        <v>29</v>
      </c>
      <c r="B607" s="1451" t="s">
        <v>1517</v>
      </c>
      <c r="C607" s="60" t="str">
        <f t="shared" si="100"/>
        <v xml:space="preserve"> </v>
      </c>
      <c r="D607" s="1410">
        <v>8</v>
      </c>
      <c r="E607" s="976" t="str">
        <f>VLOOKUP($B607,DG!A:D,DG!$B$2,)</f>
        <v>05.7001</v>
      </c>
      <c r="F607" s="981" t="str">
        <f>VLOOKUP($B607,DG!A:D,DG!$C$2,)</f>
        <v xml:space="preserve">Kéo dây tiếp địa </v>
      </c>
      <c r="G607" s="976" t="str">
        <f>VLOOKUP($B607,DG!A:D,DG!$D$2,)</f>
        <v>mét</v>
      </c>
      <c r="H607" s="1689">
        <f t="shared" si="105"/>
        <v>0</v>
      </c>
      <c r="I607" s="1689"/>
      <c r="J607" s="1689"/>
      <c r="K607" s="1689"/>
      <c r="L607" s="1689"/>
      <c r="M607" s="1689"/>
      <c r="N607" s="1689"/>
      <c r="O607" s="1689"/>
      <c r="P607" s="1688">
        <f>H607+Q607-R607</f>
        <v>0</v>
      </c>
      <c r="Q607" s="991"/>
      <c r="R607" s="991"/>
      <c r="S607" s="991"/>
      <c r="T607" s="1858">
        <f t="shared" si="99"/>
        <v>0</v>
      </c>
    </row>
    <row r="608" spans="1:20" ht="22.2" hidden="1" customHeight="1">
      <c r="A608" s="1444">
        <f>COUNTIF($C$12:C608,"x")</f>
        <v>29</v>
      </c>
      <c r="B608" s="1451" t="s">
        <v>1104</v>
      </c>
      <c r="C608" s="60" t="str">
        <f t="shared" si="100"/>
        <v xml:space="preserve"> </v>
      </c>
      <c r="D608" s="1411">
        <v>1</v>
      </c>
      <c r="E608" s="976" t="str">
        <f>VLOOKUP($B608,DG!A:D,DG!$B$2,)</f>
        <v>05.8103</v>
      </c>
      <c r="F608" s="981" t="str">
        <f>VLOOKUP($B608,DG!A:D,DG!$C$2,)</f>
        <v>Đóng cọc tiếp địa đất cấp 3</v>
      </c>
      <c r="G608" s="976" t="str">
        <f>VLOOKUP($B608,DG!A:D,DG!$D$2,)</f>
        <v>cọc</v>
      </c>
      <c r="H608" s="1689">
        <f t="shared" si="105"/>
        <v>0</v>
      </c>
      <c r="I608" s="1689"/>
      <c r="J608" s="1689"/>
      <c r="K608" s="1689"/>
      <c r="L608" s="1689"/>
      <c r="M608" s="1689"/>
      <c r="N608" s="1689"/>
      <c r="O608" s="1689"/>
      <c r="P608" s="1688">
        <f>H608+Q608-R608</f>
        <v>0</v>
      </c>
      <c r="Q608" s="985"/>
      <c r="R608" s="985"/>
      <c r="S608" s="985"/>
      <c r="T608" s="1858">
        <f t="shared" si="99"/>
        <v>0</v>
      </c>
    </row>
    <row r="609" spans="1:20" ht="22.2" hidden="1" customHeight="1">
      <c r="A609" s="1444">
        <f>COUNTIF($C$12:C609,"x")</f>
        <v>29</v>
      </c>
      <c r="B609" s="1451" t="s">
        <v>1902</v>
      </c>
      <c r="C609" s="60" t="str">
        <f t="shared" si="100"/>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9"/>
        <v>0</v>
      </c>
    </row>
    <row r="610" spans="1:20" ht="22.2" hidden="1" customHeight="1">
      <c r="A610" s="1444">
        <f>COUNTIF($C$12:C610,"x")</f>
        <v>29</v>
      </c>
      <c r="B610" s="1460" t="s">
        <v>1903</v>
      </c>
      <c r="C610" s="60" t="str">
        <f t="shared" si="100"/>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8">IFERROR(HLOOKUP(B610,BangKeTru,3,0),0)</f>
        <v>0</v>
      </c>
    </row>
    <row r="611" spans="1:20" ht="22.2" hidden="1" customHeight="1">
      <c r="A611" s="1444">
        <f>COUNTIF($C$12:C611,"x")</f>
        <v>29</v>
      </c>
      <c r="B611" s="1448" t="s">
        <v>515</v>
      </c>
      <c r="C611" s="59" t="str">
        <f t="shared" ref="C611:C689" si="109">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2" hidden="1" customHeight="1">
      <c r="A612" s="1444">
        <f>COUNTIF($C$12:C612,"x")</f>
        <v>29</v>
      </c>
      <c r="B612" s="1451" t="s">
        <v>103</v>
      </c>
      <c r="C612" s="60" t="str">
        <f t="shared" si="109"/>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10">M$591*$D612</f>
        <v>0</v>
      </c>
      <c r="N612" s="1689">
        <f t="shared" si="110"/>
        <v>0</v>
      </c>
      <c r="O612" s="1689">
        <f t="shared" si="110"/>
        <v>0</v>
      </c>
      <c r="P612" s="1689"/>
      <c r="Q612" s="985"/>
      <c r="R612" s="985"/>
      <c r="S612" s="985"/>
      <c r="T612" s="1858">
        <f t="shared" si="108"/>
        <v>0</v>
      </c>
    </row>
    <row r="613" spans="1:20" ht="22.2" hidden="1" customHeight="1">
      <c r="A613" s="1444">
        <f>COUNTIF($C$12:C613,"x")</f>
        <v>29</v>
      </c>
      <c r="B613" s="1451" t="s">
        <v>1508</v>
      </c>
      <c r="C613" s="60" t="str">
        <f t="shared" si="109"/>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10"/>
        <v>0</v>
      </c>
      <c r="N613" s="1689">
        <f t="shared" si="110"/>
        <v>0</v>
      </c>
      <c r="O613" s="1689">
        <f t="shared" si="110"/>
        <v>0</v>
      </c>
      <c r="P613" s="1689"/>
      <c r="Q613" s="985"/>
      <c r="R613" s="985"/>
      <c r="S613" s="985"/>
      <c r="T613" s="1858">
        <f t="shared" si="108"/>
        <v>0</v>
      </c>
    </row>
    <row r="614" spans="1:20" ht="22.2" hidden="1" customHeight="1">
      <c r="A614" s="1444">
        <f>COUNTIF($C$12:C614,"x")</f>
        <v>29</v>
      </c>
      <c r="B614" s="1451" t="s">
        <v>2212</v>
      </c>
      <c r="C614" s="60" t="str">
        <f t="shared" si="109"/>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10"/>
        <v>0</v>
      </c>
      <c r="N614" s="1689">
        <f t="shared" si="110"/>
        <v>0</v>
      </c>
      <c r="O614" s="1689">
        <f t="shared" si="110"/>
        <v>0</v>
      </c>
      <c r="P614" s="1689"/>
      <c r="Q614" s="985"/>
      <c r="R614" s="985"/>
      <c r="S614" s="985"/>
      <c r="T614" s="1858">
        <f t="shared" si="108"/>
        <v>0</v>
      </c>
    </row>
    <row r="615" spans="1:20" ht="22.2" hidden="1" customHeight="1">
      <c r="A615" s="1444">
        <f>COUNTIF($C$12:C615,"x")</f>
        <v>29</v>
      </c>
      <c r="B615" s="1451" t="s">
        <v>1517</v>
      </c>
      <c r="C615" s="60" t="str">
        <f t="shared" si="109"/>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8"/>
        <v>0</v>
      </c>
    </row>
    <row r="616" spans="1:20" ht="22.2" hidden="1" customHeight="1">
      <c r="A616" s="1444">
        <f>COUNTIF($C$12:C616,"x")</f>
        <v>29</v>
      </c>
      <c r="B616" s="1451" t="s">
        <v>1104</v>
      </c>
      <c r="C616" s="60" t="str">
        <f t="shared" si="109"/>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8"/>
        <v>0</v>
      </c>
    </row>
    <row r="617" spans="1:20" ht="22.2" hidden="1" customHeight="1">
      <c r="A617" s="1444">
        <f>COUNTIF($C$12:C617,"x")</f>
        <v>29</v>
      </c>
      <c r="B617" s="1451" t="s">
        <v>1902</v>
      </c>
      <c r="C617" s="60" t="str">
        <f t="shared" si="109"/>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8"/>
        <v>0</v>
      </c>
    </row>
    <row r="618" spans="1:20" ht="22.2" hidden="1" customHeight="1">
      <c r="A618" s="1444">
        <f>COUNTIF($C$12:C618,"x")</f>
        <v>29</v>
      </c>
      <c r="B618" s="1460" t="s">
        <v>1903</v>
      </c>
      <c r="C618" s="60" t="str">
        <f t="shared" si="109"/>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8"/>
        <v>0</v>
      </c>
    </row>
    <row r="619" spans="1:20" ht="22.2" hidden="1" customHeight="1" collapsed="1">
      <c r="A619" s="1444">
        <f>COUNTIF($C$12:C619,"x")</f>
        <v>29</v>
      </c>
      <c r="B619" s="1448" t="s">
        <v>2142</v>
      </c>
      <c r="C619" s="59" t="str">
        <f t="shared" si="109"/>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2" hidden="1" customHeight="1">
      <c r="A620" s="1444">
        <f>COUNTIF($C$12:C620,"x")</f>
        <v>29</v>
      </c>
      <c r="B620" s="1451" t="s">
        <v>103</v>
      </c>
      <c r="C620" s="60" t="str">
        <f t="shared" si="109"/>
        <v xml:space="preserve"> </v>
      </c>
      <c r="D620" s="1410">
        <f>10*0.224</f>
        <v>2.2400000000000002</v>
      </c>
      <c r="E620" s="976"/>
      <c r="F620" s="988" t="str">
        <f>VLOOKUP($B620,DG!A:D,DG!C$2,)&amp;" : 10m"</f>
        <v>Cáp đồng trần M25mm2 : 10m</v>
      </c>
      <c r="G620" s="976" t="str">
        <f>VLOOKUP($B620,DG!A:D,DG!$D$2,)</f>
        <v>kg</v>
      </c>
      <c r="H620" s="1689">
        <f t="shared" ref="H620:O622" si="111">H$619*$D620</f>
        <v>0</v>
      </c>
      <c r="I620" s="1689">
        <f t="shared" si="111"/>
        <v>0</v>
      </c>
      <c r="J620" s="1689">
        <f t="shared" si="111"/>
        <v>0</v>
      </c>
      <c r="K620" s="1689">
        <f t="shared" si="111"/>
        <v>0</v>
      </c>
      <c r="L620" s="1689">
        <f t="shared" si="111"/>
        <v>0</v>
      </c>
      <c r="M620" s="1689">
        <f t="shared" si="111"/>
        <v>0</v>
      </c>
      <c r="N620" s="1689">
        <f t="shared" si="111"/>
        <v>0</v>
      </c>
      <c r="O620" s="1689">
        <f t="shared" si="111"/>
        <v>0</v>
      </c>
      <c r="P620" s="1689"/>
      <c r="Q620" s="985"/>
      <c r="R620" s="985"/>
      <c r="S620" s="985"/>
      <c r="T620" s="1858">
        <f t="shared" si="108"/>
        <v>0</v>
      </c>
    </row>
    <row r="621" spans="1:20" ht="22.2" hidden="1" customHeight="1">
      <c r="A621" s="1444">
        <f>COUNTIF($C$12:C621,"x")</f>
        <v>29</v>
      </c>
      <c r="B621" s="1451" t="s">
        <v>1508</v>
      </c>
      <c r="C621" s="60" t="str">
        <f t="shared" si="109"/>
        <v xml:space="preserve"> </v>
      </c>
      <c r="D621" s="1411">
        <v>1</v>
      </c>
      <c r="E621" s="976"/>
      <c r="F621" s="988" t="str">
        <f>VLOOKUP($B621,DG!A:D,DG!C$2,)</f>
        <v>Cọc tiếp đất Þ 16- 2,4m + kẹp cọc mạ đồng</v>
      </c>
      <c r="G621" s="976" t="str">
        <f>VLOOKUP($B621,DG!A:D,DG!$D$2,)</f>
        <v>bộ</v>
      </c>
      <c r="H621" s="1689">
        <f t="shared" si="111"/>
        <v>0</v>
      </c>
      <c r="I621" s="1689">
        <f t="shared" si="111"/>
        <v>0</v>
      </c>
      <c r="J621" s="1689">
        <f t="shared" si="111"/>
        <v>0</v>
      </c>
      <c r="K621" s="1689">
        <f t="shared" si="111"/>
        <v>0</v>
      </c>
      <c r="L621" s="1689">
        <f t="shared" si="111"/>
        <v>0</v>
      </c>
      <c r="M621" s="1689">
        <f t="shared" si="111"/>
        <v>0</v>
      </c>
      <c r="N621" s="1689">
        <f t="shared" si="111"/>
        <v>0</v>
      </c>
      <c r="O621" s="1689">
        <f t="shared" si="111"/>
        <v>0</v>
      </c>
      <c r="P621" s="1689"/>
      <c r="Q621" s="985"/>
      <c r="R621" s="985"/>
      <c r="S621" s="985"/>
      <c r="T621" s="1858">
        <f t="shared" si="108"/>
        <v>0</v>
      </c>
    </row>
    <row r="622" spans="1:20" ht="22.2" hidden="1" customHeight="1">
      <c r="A622" s="1444">
        <f>COUNTIF($C$12:C622,"x")</f>
        <v>29</v>
      </c>
      <c r="B622" s="1451" t="s">
        <v>1478</v>
      </c>
      <c r="C622" s="60" t="str">
        <f t="shared" si="109"/>
        <v xml:space="preserve"> </v>
      </c>
      <c r="D622" s="1411">
        <v>2</v>
      </c>
      <c r="E622" s="976"/>
      <c r="F622" s="988" t="str">
        <f>VLOOKUP($B622,DG!A:D,DG!C$2,)</f>
        <v>Kẹp nối đồng-nhôm</v>
      </c>
      <c r="G622" s="976" t="str">
        <f>VLOOKUP($B622,DG!A:D,DG!$D$2,)</f>
        <v>cái</v>
      </c>
      <c r="H622" s="1689">
        <f t="shared" si="111"/>
        <v>0</v>
      </c>
      <c r="I622" s="1689">
        <f t="shared" si="111"/>
        <v>0</v>
      </c>
      <c r="J622" s="1689">
        <f t="shared" si="111"/>
        <v>0</v>
      </c>
      <c r="K622" s="1689">
        <f t="shared" si="111"/>
        <v>0</v>
      </c>
      <c r="L622" s="1689">
        <f t="shared" si="111"/>
        <v>0</v>
      </c>
      <c r="M622" s="1689">
        <f t="shared" si="111"/>
        <v>0</v>
      </c>
      <c r="N622" s="1689">
        <f t="shared" si="111"/>
        <v>0</v>
      </c>
      <c r="O622" s="1689">
        <f t="shared" si="111"/>
        <v>0</v>
      </c>
      <c r="P622" s="1689"/>
      <c r="Q622" s="985"/>
      <c r="R622" s="985"/>
      <c r="S622" s="985"/>
      <c r="T622" s="1858">
        <f t="shared" si="108"/>
        <v>0</v>
      </c>
    </row>
    <row r="623" spans="1:20" ht="22.2" hidden="1" customHeight="1">
      <c r="A623" s="1444">
        <f>COUNTIF($C$12:C623,"x")</f>
        <v>29</v>
      </c>
      <c r="B623" s="1451" t="s">
        <v>1052</v>
      </c>
      <c r="C623" s="60" t="str">
        <f t="shared" si="109"/>
        <v xml:space="preserve"> </v>
      </c>
      <c r="D623" s="1411">
        <v>2</v>
      </c>
      <c r="E623" s="976"/>
      <c r="F623" s="988" t="str">
        <f>VLOOKUP($B623,DG!A:D,DG!C$2,)</f>
        <v>Đầu cosse ép Cu 25mm2</v>
      </c>
      <c r="G623" s="976" t="str">
        <f>VLOOKUP($B623,DG!A:D,DG!$D$2,)</f>
        <v>cái</v>
      </c>
      <c r="H623" s="1689">
        <f t="shared" ref="H623:H628" si="112">H$619*$D623</f>
        <v>0</v>
      </c>
      <c r="I623" s="1689">
        <f t="shared" ref="I623:N624" si="113">I$629*$D623</f>
        <v>0</v>
      </c>
      <c r="J623" s="1689">
        <f t="shared" si="113"/>
        <v>0</v>
      </c>
      <c r="K623" s="1689">
        <f t="shared" si="113"/>
        <v>2</v>
      </c>
      <c r="L623" s="1689">
        <f t="shared" si="113"/>
        <v>0</v>
      </c>
      <c r="M623" s="1689">
        <f t="shared" si="113"/>
        <v>0</v>
      </c>
      <c r="N623" s="1689">
        <f t="shared" si="113"/>
        <v>0</v>
      </c>
      <c r="O623" s="1689"/>
      <c r="P623" s="1689"/>
      <c r="Q623" s="985"/>
      <c r="R623" s="985"/>
      <c r="S623" s="985"/>
      <c r="T623" s="1858">
        <f t="shared" si="108"/>
        <v>0</v>
      </c>
    </row>
    <row r="624" spans="1:20" ht="22.2" hidden="1" customHeight="1">
      <c r="A624" s="1444">
        <f>COUNTIF($C$12:C624,"x")</f>
        <v>29</v>
      </c>
      <c r="B624" s="1451" t="s">
        <v>2019</v>
      </c>
      <c r="C624" s="60" t="str">
        <f t="shared" si="109"/>
        <v xml:space="preserve"> </v>
      </c>
      <c r="D624" s="1411">
        <v>1</v>
      </c>
      <c r="E624" s="976"/>
      <c r="F624" s="988" t="str">
        <f>VLOOKUP($B624,DG!A:D,DG!C$2,)</f>
        <v>Boulon 12x40+ 2 long đền vuông D14-50x50x3/Zn</v>
      </c>
      <c r="G624" s="976" t="str">
        <f>VLOOKUP($B624,DG!A:D,DG!$D$2,)</f>
        <v>bộ</v>
      </c>
      <c r="H624" s="1689">
        <f t="shared" si="112"/>
        <v>0</v>
      </c>
      <c r="I624" s="1689">
        <f t="shared" si="113"/>
        <v>0</v>
      </c>
      <c r="J624" s="1689">
        <f t="shared" si="113"/>
        <v>0</v>
      </c>
      <c r="K624" s="1689">
        <f t="shared" si="113"/>
        <v>1</v>
      </c>
      <c r="L624" s="1689">
        <f t="shared" si="113"/>
        <v>0</v>
      </c>
      <c r="M624" s="1689">
        <f t="shared" si="113"/>
        <v>0</v>
      </c>
      <c r="N624" s="1689">
        <f t="shared" si="113"/>
        <v>0</v>
      </c>
      <c r="O624" s="1689"/>
      <c r="P624" s="1689"/>
      <c r="Q624" s="985"/>
      <c r="R624" s="985"/>
      <c r="S624" s="985"/>
      <c r="T624" s="1858">
        <f t="shared" si="108"/>
        <v>0</v>
      </c>
    </row>
    <row r="625" spans="1:20" ht="22.2" hidden="1" customHeight="1">
      <c r="A625" s="1444">
        <f>COUNTIF($C$12:C625,"x")</f>
        <v>29</v>
      </c>
      <c r="B625" s="1451" t="s">
        <v>1517</v>
      </c>
      <c r="C625" s="60" t="str">
        <f t="shared" si="109"/>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2"/>
        <v>0</v>
      </c>
      <c r="I625" s="1689"/>
      <c r="J625" s="1689"/>
      <c r="K625" s="1689"/>
      <c r="L625" s="1689"/>
      <c r="M625" s="1689"/>
      <c r="N625" s="1689"/>
      <c r="O625" s="1689"/>
      <c r="P625" s="1689"/>
      <c r="Q625" s="990"/>
      <c r="R625" s="990"/>
      <c r="S625" s="990"/>
      <c r="T625" s="1858">
        <f t="shared" si="108"/>
        <v>0</v>
      </c>
    </row>
    <row r="626" spans="1:20" ht="22.2" hidden="1" customHeight="1">
      <c r="A626" s="1444">
        <f>COUNTIF($C$12:C626,"x")</f>
        <v>29</v>
      </c>
      <c r="B626" s="1451" t="s">
        <v>1104</v>
      </c>
      <c r="C626" s="60" t="str">
        <f t="shared" si="109"/>
        <v xml:space="preserve"> </v>
      </c>
      <c r="D626" s="1411">
        <f>+D621</f>
        <v>1</v>
      </c>
      <c r="E626" s="976" t="str">
        <f>VLOOKUP($B626,DG!A:D,DG!$B$2,)</f>
        <v>05.8103</v>
      </c>
      <c r="F626" s="981" t="str">
        <f>VLOOKUP($B626,DG!A:D,DG!C$2,)</f>
        <v>Đóng cọc tiếp địa đất cấp 3</v>
      </c>
      <c r="G626" s="976" t="str">
        <f>VLOOKUP($B626,DG!A:D,DG!$D$2,)</f>
        <v>cọc</v>
      </c>
      <c r="H626" s="1689">
        <f t="shared" si="112"/>
        <v>0</v>
      </c>
      <c r="I626" s="1689"/>
      <c r="J626" s="1689"/>
      <c r="K626" s="1689"/>
      <c r="L626" s="1689"/>
      <c r="M626" s="1689"/>
      <c r="N626" s="1689"/>
      <c r="O626" s="1689"/>
      <c r="P626" s="1689"/>
      <c r="Q626" s="985"/>
      <c r="R626" s="985"/>
      <c r="S626" s="985"/>
      <c r="T626" s="1858">
        <f t="shared" si="108"/>
        <v>0</v>
      </c>
    </row>
    <row r="627" spans="1:20" ht="22.2" hidden="1" customHeight="1">
      <c r="A627" s="1444">
        <f>COUNTIF($C$12:C627,"x")</f>
        <v>29</v>
      </c>
      <c r="B627" s="1451" t="s">
        <v>1902</v>
      </c>
      <c r="C627" s="60" t="str">
        <f t="shared" si="109"/>
        <v xml:space="preserve"> </v>
      </c>
      <c r="D627" s="1409"/>
      <c r="E627" s="976" t="str">
        <f>VLOOKUP($B627,DG!A:D,DG!$B$2,)</f>
        <v>02.1120</v>
      </c>
      <c r="F627" s="981" t="str">
        <f>VLOOKUP($B627,DG!A:D,DG!C$2,)</f>
        <v>Bốc dỡ phụ kiện</v>
      </c>
      <c r="G627" s="976" t="str">
        <f>VLOOKUP($B627,DG!A:D,DG!$D$2,)</f>
        <v>tấn</v>
      </c>
      <c r="H627" s="1689">
        <f t="shared" si="112"/>
        <v>0</v>
      </c>
      <c r="I627" s="1689"/>
      <c r="J627" s="1689"/>
      <c r="K627" s="1689"/>
      <c r="L627" s="1689"/>
      <c r="M627" s="1689"/>
      <c r="N627" s="1689"/>
      <c r="O627" s="1689"/>
      <c r="P627" s="1689"/>
      <c r="Q627" s="985"/>
      <c r="R627" s="985"/>
      <c r="S627" s="985"/>
      <c r="T627" s="1858">
        <f t="shared" si="108"/>
        <v>0</v>
      </c>
    </row>
    <row r="628" spans="1:20" ht="22.2" hidden="1" customHeight="1">
      <c r="A628" s="1444">
        <f>COUNTIF($C$12:C628,"x")</f>
        <v>29</v>
      </c>
      <c r="B628" s="1460" t="s">
        <v>1903</v>
      </c>
      <c r="C628" s="60" t="str">
        <f t="shared" si="109"/>
        <v xml:space="preserve"> </v>
      </c>
      <c r="D628" s="1409"/>
      <c r="E628" s="976" t="str">
        <f>VLOOKUP($B628,DG!A:C,2,)</f>
        <v>02.1351</v>
      </c>
      <c r="F628" s="981" t="str">
        <f>VLOOKUP($B628,DG!A:C,3,)</f>
        <v>V/c tiếp địa vào vị trí ( cự ly &lt;=100m)</v>
      </c>
      <c r="G628" s="976" t="str">
        <f>VLOOKUP($B628,DG!A:D,4,0)</f>
        <v>tấn</v>
      </c>
      <c r="H628" s="1689">
        <f t="shared" si="112"/>
        <v>0</v>
      </c>
      <c r="I628" s="1689"/>
      <c r="J628" s="1689"/>
      <c r="K628" s="1689"/>
      <c r="L628" s="1689"/>
      <c r="M628" s="1689"/>
      <c r="N628" s="1689"/>
      <c r="O628" s="1689"/>
      <c r="P628" s="1689"/>
      <c r="Q628" s="990"/>
      <c r="R628" s="990"/>
      <c r="S628" s="990"/>
      <c r="T628" s="1858">
        <f t="shared" si="108"/>
        <v>0</v>
      </c>
    </row>
    <row r="629" spans="1:20" ht="22.2" customHeight="1">
      <c r="A629" s="1444">
        <f>COUNTIF($C$12:C629,"x")</f>
        <v>30</v>
      </c>
      <c r="B629" s="1448" t="s">
        <v>1637</v>
      </c>
      <c r="C629" s="968" t="str">
        <f t="shared" si="109"/>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2" hidden="1" customHeight="1">
      <c r="A630" s="1444">
        <f>COUNTIF($C$12:C630,"x")</f>
        <v>31</v>
      </c>
      <c r="B630" s="1447" t="s">
        <v>103</v>
      </c>
      <c r="C630" s="969" t="str">
        <f t="shared" si="109"/>
        <v>x</v>
      </c>
      <c r="D630" s="1410">
        <v>2.2400000000000002</v>
      </c>
      <c r="E630" s="1875">
        <v>12</v>
      </c>
      <c r="F630" s="988" t="str">
        <f>VLOOKUP($B630,DG!A:D,DG!C$2,)</f>
        <v>Cáp đồng trần M25mm2</v>
      </c>
      <c r="G630" s="976" t="str">
        <f>VLOOKUP($B630,DG!A:D,DG!$D$2,)</f>
        <v>kg</v>
      </c>
      <c r="H630" s="1689">
        <f t="shared" ref="H630:N637" si="114">H$629*$D630</f>
        <v>2.2400000000000002</v>
      </c>
      <c r="I630" s="1689">
        <f t="shared" si="114"/>
        <v>0</v>
      </c>
      <c r="J630" s="1689">
        <f t="shared" si="114"/>
        <v>0</v>
      </c>
      <c r="K630" s="1689">
        <f t="shared" si="114"/>
        <v>2.2400000000000002</v>
      </c>
      <c r="L630" s="1689">
        <f t="shared" si="114"/>
        <v>0</v>
      </c>
      <c r="M630" s="1689">
        <f t="shared" si="114"/>
        <v>0</v>
      </c>
      <c r="N630" s="1689">
        <f t="shared" si="114"/>
        <v>0</v>
      </c>
      <c r="O630" s="1689"/>
      <c r="P630" s="1689">
        <f>D630*$P$629</f>
        <v>2.2400000000000002</v>
      </c>
      <c r="Q630" s="985"/>
      <c r="R630" s="985"/>
      <c r="S630" s="985"/>
      <c r="T630" s="1858">
        <f t="shared" si="108"/>
        <v>0</v>
      </c>
    </row>
    <row r="631" spans="1:20" ht="22.2" hidden="1" customHeight="1">
      <c r="A631" s="1444">
        <f>COUNTIF($C$12:C631,"x")</f>
        <v>32</v>
      </c>
      <c r="B631" s="1447" t="s">
        <v>1508</v>
      </c>
      <c r="C631" s="969" t="str">
        <f t="shared" si="109"/>
        <v>x</v>
      </c>
      <c r="D631" s="1411">
        <v>1</v>
      </c>
      <c r="E631" s="976"/>
      <c r="F631" s="988" t="str">
        <f>VLOOKUP($B631,DG!A:D,DG!C$2,)</f>
        <v>Cọc tiếp đất Þ 16- 2,4m + kẹp cọc mạ đồng</v>
      </c>
      <c r="G631" s="976" t="str">
        <f>VLOOKUP($B631,DG!A:D,DG!$D$2,)</f>
        <v>bộ</v>
      </c>
      <c r="H631" s="1689">
        <f t="shared" si="114"/>
        <v>1</v>
      </c>
      <c r="I631" s="1689">
        <f t="shared" si="114"/>
        <v>0</v>
      </c>
      <c r="J631" s="1689">
        <f t="shared" si="114"/>
        <v>0</v>
      </c>
      <c r="K631" s="1689">
        <f t="shared" si="114"/>
        <v>1</v>
      </c>
      <c r="L631" s="1689">
        <f t="shared" si="114"/>
        <v>0</v>
      </c>
      <c r="M631" s="1689">
        <f t="shared" si="114"/>
        <v>0</v>
      </c>
      <c r="N631" s="1689">
        <f t="shared" si="114"/>
        <v>0</v>
      </c>
      <c r="O631" s="1689"/>
      <c r="P631" s="1689">
        <f t="shared" ref="P631:P633" si="115">D631*$P$629</f>
        <v>1</v>
      </c>
      <c r="Q631" s="985"/>
      <c r="R631" s="985"/>
      <c r="S631" s="985"/>
      <c r="T631" s="1858">
        <f t="shared" si="108"/>
        <v>0</v>
      </c>
    </row>
    <row r="632" spans="1:20" ht="22.2" hidden="1" customHeight="1">
      <c r="A632" s="1444">
        <f>COUNTIF($C$12:C632,"x")</f>
        <v>33</v>
      </c>
      <c r="B632" s="1451" t="s">
        <v>1579</v>
      </c>
      <c r="C632" s="60" t="str">
        <f>IF(OR(P632&lt;&gt;0,H632&lt;&gt;0),"x"," ")</f>
        <v>x</v>
      </c>
      <c r="D632" s="1411">
        <f>2</f>
        <v>2</v>
      </c>
      <c r="E632" s="976"/>
      <c r="F632" s="988" t="str">
        <f>VLOOKUP($B632,DG!A:D,DG!C$2,)</f>
        <v>Kẹp ép WR cỡ dây 50mm2</v>
      </c>
      <c r="G632" s="976" t="str">
        <f>VLOOKUP($B632,DG!A:D,DG!$D$2,)</f>
        <v>cái</v>
      </c>
      <c r="H632" s="1689">
        <f t="shared" si="114"/>
        <v>2</v>
      </c>
      <c r="I632" s="1689">
        <f t="shared" si="114"/>
        <v>0</v>
      </c>
      <c r="J632" s="1689">
        <f t="shared" si="114"/>
        <v>0</v>
      </c>
      <c r="K632" s="1689">
        <f t="shared" si="114"/>
        <v>2</v>
      </c>
      <c r="L632" s="1689">
        <f t="shared" si="114"/>
        <v>0</v>
      </c>
      <c r="M632" s="1689">
        <f t="shared" si="114"/>
        <v>0</v>
      </c>
      <c r="N632" s="1689">
        <f t="shared" si="114"/>
        <v>0</v>
      </c>
      <c r="O632" s="1689"/>
      <c r="P632" s="1689">
        <f t="shared" si="115"/>
        <v>2</v>
      </c>
      <c r="Q632" s="985"/>
      <c r="R632" s="985"/>
      <c r="S632" s="985"/>
      <c r="T632" s="1858">
        <f>IFERROR(HLOOKUP(B632,BangKeTru,3,0),0)</f>
        <v>0</v>
      </c>
    </row>
    <row r="633" spans="1:20" ht="22.2" hidden="1" customHeight="1">
      <c r="A633" s="1444">
        <f>COUNTIF($C$12:C633,"x")</f>
        <v>34</v>
      </c>
      <c r="B633" s="1451" t="s">
        <v>1062</v>
      </c>
      <c r="C633" s="60" t="str">
        <f t="shared" si="109"/>
        <v>x</v>
      </c>
      <c r="D633" s="1411">
        <f>2</f>
        <v>2</v>
      </c>
      <c r="E633" s="976"/>
      <c r="F633" s="988" t="str">
        <f>VLOOKUP($B633,DG!A:D,DG!C$2,)</f>
        <v>Ốc siết cáp cỡ 25mm2</v>
      </c>
      <c r="G633" s="976" t="str">
        <f>VLOOKUP($B633,DG!A:D,DG!$D$2,)</f>
        <v>cái</v>
      </c>
      <c r="H633" s="1689">
        <f t="shared" si="114"/>
        <v>2</v>
      </c>
      <c r="I633" s="1689">
        <f t="shared" si="114"/>
        <v>0</v>
      </c>
      <c r="J633" s="1689">
        <f t="shared" si="114"/>
        <v>0</v>
      </c>
      <c r="K633" s="1689">
        <f t="shared" si="114"/>
        <v>2</v>
      </c>
      <c r="L633" s="1689">
        <f t="shared" si="114"/>
        <v>0</v>
      </c>
      <c r="M633" s="1689">
        <f t="shared" si="114"/>
        <v>0</v>
      </c>
      <c r="N633" s="1689">
        <f t="shared" si="114"/>
        <v>0</v>
      </c>
      <c r="O633" s="1689"/>
      <c r="P633" s="1689">
        <f t="shared" si="115"/>
        <v>2</v>
      </c>
      <c r="Q633" s="985"/>
      <c r="R633" s="985"/>
      <c r="S633" s="985"/>
      <c r="T633" s="1858">
        <f t="shared" si="108"/>
        <v>0</v>
      </c>
    </row>
    <row r="634" spans="1:20" ht="22.2" hidden="1" customHeight="1">
      <c r="A634" s="1444">
        <f>COUNTIF($C$12:C634,"x")</f>
        <v>34</v>
      </c>
      <c r="B634" s="1451" t="s">
        <v>1490</v>
      </c>
      <c r="C634" s="60" t="str">
        <f t="shared" si="109"/>
        <v xml:space="preserve"> </v>
      </c>
      <c r="D634" s="1411">
        <f>6-6</f>
        <v>0</v>
      </c>
      <c r="E634" s="976"/>
      <c r="F634" s="988" t="str">
        <f>VLOOKUP($B634,DG!A:D,DG!C$2,)</f>
        <v xml:space="preserve">Ống PVC D21x1,6mm </v>
      </c>
      <c r="G634" s="976" t="str">
        <f>VLOOKUP($B634,DG!A:D,DG!$D$2,)</f>
        <v>m</v>
      </c>
      <c r="H634" s="1689">
        <f t="shared" si="114"/>
        <v>0</v>
      </c>
      <c r="I634" s="1689">
        <f t="shared" si="114"/>
        <v>0</v>
      </c>
      <c r="J634" s="1689">
        <f t="shared" si="114"/>
        <v>0</v>
      </c>
      <c r="K634" s="1689">
        <f t="shared" si="114"/>
        <v>0</v>
      </c>
      <c r="L634" s="1689">
        <f t="shared" si="114"/>
        <v>0</v>
      </c>
      <c r="M634" s="1689">
        <f t="shared" si="114"/>
        <v>0</v>
      </c>
      <c r="N634" s="1689">
        <f t="shared" si="114"/>
        <v>0</v>
      </c>
      <c r="O634" s="1689"/>
      <c r="P634" s="1689"/>
      <c r="Q634" s="985"/>
      <c r="R634" s="985"/>
      <c r="S634" s="985"/>
      <c r="T634" s="1858">
        <f t="shared" si="108"/>
        <v>0</v>
      </c>
    </row>
    <row r="635" spans="1:20" ht="22.2" hidden="1" customHeight="1">
      <c r="A635" s="1444">
        <f>COUNTIF($C$12:C635,"x")</f>
        <v>34</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4"/>
        <v>0</v>
      </c>
      <c r="I635" s="1689">
        <f t="shared" si="114"/>
        <v>0</v>
      </c>
      <c r="J635" s="1689">
        <f t="shared" si="114"/>
        <v>0</v>
      </c>
      <c r="K635" s="1689">
        <f t="shared" si="114"/>
        <v>0</v>
      </c>
      <c r="L635" s="1689">
        <f t="shared" si="114"/>
        <v>0</v>
      </c>
      <c r="M635" s="1689">
        <f t="shared" si="114"/>
        <v>0</v>
      </c>
      <c r="N635" s="1689">
        <f t="shared" si="114"/>
        <v>0</v>
      </c>
      <c r="O635" s="1689"/>
      <c r="P635" s="1689">
        <f>D635*$P$629</f>
        <v>0</v>
      </c>
      <c r="Q635" s="985"/>
      <c r="R635" s="985"/>
      <c r="S635" s="985"/>
      <c r="T635" s="1858">
        <f t="shared" si="108"/>
        <v>0</v>
      </c>
    </row>
    <row r="636" spans="1:20" ht="22.2" hidden="1" customHeight="1">
      <c r="A636" s="1444">
        <f>COUNTIF($C$12:C636,"x")</f>
        <v>35</v>
      </c>
      <c r="B636" s="1447" t="s">
        <v>1517</v>
      </c>
      <c r="C636" s="969" t="str">
        <f t="shared" si="109"/>
        <v>x</v>
      </c>
      <c r="D636" s="1410">
        <f>D630</f>
        <v>2.2400000000000002</v>
      </c>
      <c r="E636" s="976" t="str">
        <f>VLOOKUP($B636,DG!A:D,DG!$B$2,)</f>
        <v>05.7001</v>
      </c>
      <c r="F636" s="981" t="str">
        <f>VLOOKUP($B636,DG!A:D,DG!C$2,)</f>
        <v xml:space="preserve">Kéo dây tiếp địa </v>
      </c>
      <c r="G636" s="1922" t="str">
        <f>G630</f>
        <v>kg</v>
      </c>
      <c r="H636" s="1689">
        <f t="shared" si="114"/>
        <v>2.2400000000000002</v>
      </c>
      <c r="I636" s="1689"/>
      <c r="J636" s="1689"/>
      <c r="K636" s="1689"/>
      <c r="L636" s="1689"/>
      <c r="M636" s="1689"/>
      <c r="N636" s="1689"/>
      <c r="O636" s="1689"/>
      <c r="P636" s="1689">
        <f t="shared" ref="P636:P637" si="116">D636*$P$629</f>
        <v>2.2400000000000002</v>
      </c>
      <c r="Q636" s="990"/>
      <c r="R636" s="990"/>
      <c r="S636" s="990"/>
      <c r="T636" s="1858">
        <f t="shared" si="108"/>
        <v>0</v>
      </c>
    </row>
    <row r="637" spans="1:20" ht="22.2" hidden="1" customHeight="1">
      <c r="A637" s="1444">
        <f>COUNTIF($C$12:C637,"x")</f>
        <v>36</v>
      </c>
      <c r="B637" s="1447" t="s">
        <v>1104</v>
      </c>
      <c r="C637" s="969" t="str">
        <f t="shared" si="109"/>
        <v>x</v>
      </c>
      <c r="D637" s="1411">
        <f>D631</f>
        <v>1</v>
      </c>
      <c r="E637" s="976" t="str">
        <f>VLOOKUP($B637,DG!A:D,DG!$B$2,)</f>
        <v>05.8103</v>
      </c>
      <c r="F637" s="981" t="str">
        <f>VLOOKUP($B637,DG!A:D,DG!C$2,)</f>
        <v>Đóng cọc tiếp địa đất cấp 3</v>
      </c>
      <c r="G637" s="976" t="str">
        <f>VLOOKUP($B637,DG!A:D,DG!$D$2,)</f>
        <v>cọc</v>
      </c>
      <c r="H637" s="1689">
        <f t="shared" si="114"/>
        <v>1</v>
      </c>
      <c r="I637" s="1689"/>
      <c r="J637" s="1689"/>
      <c r="K637" s="1689"/>
      <c r="L637" s="1689"/>
      <c r="M637" s="1689"/>
      <c r="N637" s="1689"/>
      <c r="O637" s="1689"/>
      <c r="P637" s="1689">
        <f t="shared" si="116"/>
        <v>1</v>
      </c>
      <c r="Q637" s="985"/>
      <c r="R637" s="985"/>
      <c r="S637" s="985"/>
      <c r="T637" s="1858">
        <f t="shared" si="108"/>
        <v>0</v>
      </c>
    </row>
    <row r="638" spans="1:20" ht="22.2" hidden="1" customHeight="1">
      <c r="A638" s="1444">
        <f>COUNTIF($C$12:C638,"x")</f>
        <v>36</v>
      </c>
      <c r="B638" s="1451" t="s">
        <v>1902</v>
      </c>
      <c r="C638" s="60" t="str">
        <f t="shared" si="109"/>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8"/>
        <v>0</v>
      </c>
    </row>
    <row r="639" spans="1:20" ht="22.2" hidden="1" customHeight="1">
      <c r="A639" s="1444">
        <f>COUNTIF($C$12:C639,"x")</f>
        <v>36</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8"/>
        <v>0</v>
      </c>
    </row>
    <row r="640" spans="1:20" ht="22.2" hidden="1" customHeight="1">
      <c r="A640" s="1444">
        <f>COUNTIF($C$12:C640,"x")</f>
        <v>36</v>
      </c>
      <c r="B640" s="1448" t="s">
        <v>2235</v>
      </c>
      <c r="C640" s="60" t="str">
        <f t="shared" si="109"/>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2" hidden="1" customHeight="1">
      <c r="A641" s="1444">
        <f>COUNTIF($C$12:C641,"x")</f>
        <v>36</v>
      </c>
      <c r="B641" s="1451" t="s">
        <v>103</v>
      </c>
      <c r="C641" s="60" t="str">
        <f t="shared" si="109"/>
        <v xml:space="preserve"> </v>
      </c>
      <c r="D641" s="1410">
        <v>2.2400000000000002</v>
      </c>
      <c r="E641" s="976"/>
      <c r="F641" s="988" t="str">
        <f>VLOOKUP($B641,DG!A:D,DG!C$2,)</f>
        <v>Cáp đồng trần M25mm2</v>
      </c>
      <c r="G641" s="976" t="str">
        <f>VLOOKUP($B641,DG!A:D,DG!$D$2,)</f>
        <v>kg</v>
      </c>
      <c r="H641" s="1689">
        <f t="shared" ref="H641:H649" si="117">$H$640*$D641</f>
        <v>0</v>
      </c>
      <c r="I641" s="1689">
        <f t="shared" ref="I641:O646" si="118">I$640*$D641</f>
        <v>0</v>
      </c>
      <c r="J641" s="1689">
        <f t="shared" si="118"/>
        <v>0</v>
      </c>
      <c r="K641" s="1689">
        <f t="shared" si="118"/>
        <v>0</v>
      </c>
      <c r="L641" s="1689">
        <f t="shared" si="118"/>
        <v>0</v>
      </c>
      <c r="M641" s="1689">
        <f t="shared" si="118"/>
        <v>0</v>
      </c>
      <c r="N641" s="1689">
        <f t="shared" si="118"/>
        <v>0</v>
      </c>
      <c r="O641" s="1689">
        <f t="shared" si="118"/>
        <v>0</v>
      </c>
      <c r="P641" s="1690">
        <f>$P$640*D641</f>
        <v>0</v>
      </c>
      <c r="Q641" s="2668"/>
      <c r="R641" s="985"/>
      <c r="S641" s="985"/>
      <c r="T641" s="1858">
        <f t="shared" si="108"/>
        <v>0</v>
      </c>
    </row>
    <row r="642" spans="1:20" ht="22.2" hidden="1" customHeight="1">
      <c r="A642" s="1444">
        <f>COUNTIF($C$12:C642,"x")</f>
        <v>36</v>
      </c>
      <c r="B642" s="1451" t="s">
        <v>1508</v>
      </c>
      <c r="C642" s="60" t="str">
        <f t="shared" si="109"/>
        <v xml:space="preserve"> </v>
      </c>
      <c r="D642" s="1411">
        <v>1</v>
      </c>
      <c r="E642" s="976"/>
      <c r="F642" s="988" t="str">
        <f>VLOOKUP($B642,DG!A:D,DG!C$2,)</f>
        <v>Cọc tiếp đất Þ 16- 2,4m + kẹp cọc mạ đồng</v>
      </c>
      <c r="G642" s="976" t="str">
        <f>VLOOKUP($B642,DG!A:D,DG!$D$2,)</f>
        <v>bộ</v>
      </c>
      <c r="H642" s="1689">
        <f t="shared" si="117"/>
        <v>0</v>
      </c>
      <c r="I642" s="1689">
        <f t="shared" si="118"/>
        <v>0</v>
      </c>
      <c r="J642" s="1689">
        <f t="shared" si="118"/>
        <v>0</v>
      </c>
      <c r="K642" s="1689">
        <f t="shared" si="118"/>
        <v>0</v>
      </c>
      <c r="L642" s="1689">
        <f t="shared" si="118"/>
        <v>0</v>
      </c>
      <c r="M642" s="1689">
        <f t="shared" si="118"/>
        <v>0</v>
      </c>
      <c r="N642" s="1689">
        <f t="shared" si="118"/>
        <v>0</v>
      </c>
      <c r="O642" s="1689">
        <f t="shared" si="118"/>
        <v>0</v>
      </c>
      <c r="P642" s="1690">
        <f>$P$640*D642</f>
        <v>0</v>
      </c>
      <c r="Q642" s="2668"/>
      <c r="R642" s="985"/>
      <c r="S642" s="985"/>
      <c r="T642" s="1858">
        <f t="shared" si="108"/>
        <v>0</v>
      </c>
    </row>
    <row r="643" spans="1:20" ht="22.2" hidden="1" customHeight="1">
      <c r="A643" s="1444">
        <f>COUNTIF($C$12:C643,"x")</f>
        <v>36</v>
      </c>
      <c r="B643" s="1451" t="s">
        <v>531</v>
      </c>
      <c r="C643" s="60" t="str">
        <f t="shared" si="109"/>
        <v xml:space="preserve"> </v>
      </c>
      <c r="D643" s="1411">
        <v>2</v>
      </c>
      <c r="E643" s="976"/>
      <c r="F643" s="988" t="str">
        <f>VLOOKUP($B643,DG!A:D,DG!C$2,)</f>
        <v>Kẹp ép WR cỡ dây 50mm2</v>
      </c>
      <c r="G643" s="976" t="str">
        <f>VLOOKUP($B643,DG!A:D,DG!$D$2,)</f>
        <v>cái</v>
      </c>
      <c r="H643" s="1689">
        <f t="shared" si="117"/>
        <v>0</v>
      </c>
      <c r="I643" s="1689">
        <f t="shared" si="118"/>
        <v>0</v>
      </c>
      <c r="J643" s="1689">
        <f t="shared" si="118"/>
        <v>0</v>
      </c>
      <c r="K643" s="1689">
        <f t="shared" si="118"/>
        <v>0</v>
      </c>
      <c r="L643" s="1689">
        <f t="shared" si="118"/>
        <v>0</v>
      </c>
      <c r="M643" s="1689">
        <f t="shared" si="118"/>
        <v>0</v>
      </c>
      <c r="N643" s="1689">
        <f t="shared" si="118"/>
        <v>0</v>
      </c>
      <c r="O643" s="1689">
        <f t="shared" si="118"/>
        <v>0</v>
      </c>
      <c r="P643" s="1690">
        <f>$P$640*D643</f>
        <v>0</v>
      </c>
      <c r="Q643" s="2668"/>
      <c r="R643" s="985"/>
      <c r="S643" s="985"/>
      <c r="T643" s="1858">
        <f t="shared" si="108"/>
        <v>0</v>
      </c>
    </row>
    <row r="644" spans="1:20" ht="22.2" hidden="1" customHeight="1">
      <c r="A644" s="1444">
        <f>COUNTIF($C$12:C644,"x")</f>
        <v>36</v>
      </c>
      <c r="B644" s="1451" t="s">
        <v>1052</v>
      </c>
      <c r="C644" s="60" t="str">
        <f t="shared" si="109"/>
        <v xml:space="preserve"> </v>
      </c>
      <c r="D644" s="1411"/>
      <c r="E644" s="976"/>
      <c r="F644" s="988" t="str">
        <f>VLOOKUP($B644,DG!A:D,DG!C$2,)</f>
        <v>Đầu cosse ép Cu 25mm2</v>
      </c>
      <c r="G644" s="976" t="str">
        <f>VLOOKUP($B644,DG!A:D,DG!$D$2,)</f>
        <v>cái</v>
      </c>
      <c r="H644" s="1689">
        <f t="shared" si="117"/>
        <v>0</v>
      </c>
      <c r="I644" s="1689">
        <f t="shared" si="118"/>
        <v>0</v>
      </c>
      <c r="J644" s="1689">
        <f t="shared" si="118"/>
        <v>0</v>
      </c>
      <c r="K644" s="1689">
        <f t="shared" si="118"/>
        <v>0</v>
      </c>
      <c r="L644" s="1689">
        <f t="shared" si="118"/>
        <v>0</v>
      </c>
      <c r="M644" s="1689">
        <f t="shared" si="118"/>
        <v>0</v>
      </c>
      <c r="N644" s="1689">
        <f t="shared" si="118"/>
        <v>0</v>
      </c>
      <c r="O644" s="1689">
        <f t="shared" si="118"/>
        <v>0</v>
      </c>
      <c r="P644" s="1689"/>
      <c r="Q644" s="985"/>
      <c r="R644" s="985"/>
      <c r="S644" s="985"/>
      <c r="T644" s="1858">
        <f t="shared" si="108"/>
        <v>0</v>
      </c>
    </row>
    <row r="645" spans="1:20" ht="22.2" hidden="1" customHeight="1">
      <c r="A645" s="1444">
        <f>COUNTIF($C$12:C645,"x")</f>
        <v>36</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7"/>
        <v>0</v>
      </c>
      <c r="I645" s="1689">
        <f t="shared" si="118"/>
        <v>0</v>
      </c>
      <c r="J645" s="1689">
        <f t="shared" si="118"/>
        <v>0</v>
      </c>
      <c r="K645" s="1689">
        <f t="shared" si="118"/>
        <v>0</v>
      </c>
      <c r="L645" s="1689">
        <f t="shared" si="118"/>
        <v>0</v>
      </c>
      <c r="M645" s="1689">
        <f t="shared" si="118"/>
        <v>0</v>
      </c>
      <c r="N645" s="1689">
        <f t="shared" si="118"/>
        <v>0</v>
      </c>
      <c r="O645" s="1689">
        <f t="shared" si="118"/>
        <v>0</v>
      </c>
      <c r="P645" s="1689"/>
      <c r="Q645" s="985"/>
      <c r="R645" s="985"/>
      <c r="S645" s="985"/>
      <c r="T645" s="1858">
        <f>IFERROR(HLOOKUP(B645,BangKeTru,3,0),0)</f>
        <v>0</v>
      </c>
    </row>
    <row r="646" spans="1:20" ht="22.2" hidden="1" customHeight="1">
      <c r="A646" s="1444">
        <f>COUNTIF($C$12:C646,"x")</f>
        <v>36</v>
      </c>
      <c r="B646" s="1451" t="s">
        <v>1062</v>
      </c>
      <c r="C646" s="60" t="str">
        <f t="shared" si="109"/>
        <v xml:space="preserve"> </v>
      </c>
      <c r="D646" s="1411">
        <v>2</v>
      </c>
      <c r="E646" s="976"/>
      <c r="F646" s="988" t="str">
        <f>VLOOKUP($B646,DG!A:D,DG!C$2,)</f>
        <v>Ốc siết cáp cỡ 25mm2</v>
      </c>
      <c r="G646" s="976" t="str">
        <f>VLOOKUP($B646,DG!A:D,DG!$D$2,)</f>
        <v>cái</v>
      </c>
      <c r="H646" s="1689">
        <f t="shared" si="117"/>
        <v>0</v>
      </c>
      <c r="I646" s="1689">
        <f t="shared" si="118"/>
        <v>0</v>
      </c>
      <c r="J646" s="1689">
        <f t="shared" si="118"/>
        <v>0</v>
      </c>
      <c r="K646" s="1689">
        <f t="shared" si="118"/>
        <v>0</v>
      </c>
      <c r="L646" s="1689">
        <f t="shared" si="118"/>
        <v>0</v>
      </c>
      <c r="M646" s="1689">
        <f t="shared" si="118"/>
        <v>0</v>
      </c>
      <c r="N646" s="1689">
        <f t="shared" si="118"/>
        <v>0</v>
      </c>
      <c r="O646" s="1689">
        <f t="shared" si="118"/>
        <v>0</v>
      </c>
      <c r="P646" s="1690">
        <f>$P$640*D646</f>
        <v>0</v>
      </c>
      <c r="Q646" s="2668"/>
      <c r="R646" s="985"/>
      <c r="S646" s="985"/>
      <c r="T646" s="1858">
        <f t="shared" si="108"/>
        <v>0</v>
      </c>
    </row>
    <row r="647" spans="1:20" ht="22.2" hidden="1" customHeight="1">
      <c r="A647" s="1444">
        <f>COUNTIF($C$12:C647,"x")</f>
        <v>36</v>
      </c>
      <c r="B647" s="1451" t="s">
        <v>1517</v>
      </c>
      <c r="C647" s="60" t="str">
        <f t="shared" si="109"/>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7"/>
        <v>0</v>
      </c>
      <c r="I647" s="1689"/>
      <c r="J647" s="1689"/>
      <c r="K647" s="1689"/>
      <c r="L647" s="1689"/>
      <c r="M647" s="1689"/>
      <c r="N647" s="1689"/>
      <c r="O647" s="1689"/>
      <c r="P647" s="1690">
        <f>$P$640*D647</f>
        <v>0</v>
      </c>
      <c r="Q647" s="2668"/>
      <c r="R647" s="990"/>
      <c r="S647" s="990"/>
      <c r="T647" s="1858">
        <f t="shared" si="108"/>
        <v>0</v>
      </c>
    </row>
    <row r="648" spans="1:20" ht="22.2" hidden="1" customHeight="1">
      <c r="A648" s="1444">
        <f>COUNTIF($C$12:C648,"x")</f>
        <v>36</v>
      </c>
      <c r="B648" s="1451" t="s">
        <v>1104</v>
      </c>
      <c r="C648" s="60" t="str">
        <f t="shared" si="109"/>
        <v xml:space="preserve"> </v>
      </c>
      <c r="D648" s="1411">
        <f>D642</f>
        <v>1</v>
      </c>
      <c r="E648" s="976" t="str">
        <f>VLOOKUP($B648,DG!A:D,DG!$B$2,)</f>
        <v>05.8103</v>
      </c>
      <c r="F648" s="981" t="str">
        <f>VLOOKUP($B648,DG!A:D,DG!C$2,)</f>
        <v>Đóng cọc tiếp địa đất cấp 3</v>
      </c>
      <c r="G648" s="976" t="str">
        <f>VLOOKUP($B648,DG!A:D,DG!$D$2,)</f>
        <v>cọc</v>
      </c>
      <c r="H648" s="1689">
        <f t="shared" si="117"/>
        <v>0</v>
      </c>
      <c r="I648" s="1689"/>
      <c r="J648" s="1689"/>
      <c r="K648" s="1689"/>
      <c r="L648" s="1689"/>
      <c r="M648" s="1689"/>
      <c r="N648" s="1689"/>
      <c r="O648" s="1689"/>
      <c r="P648" s="1690">
        <f>$P$640*D648</f>
        <v>0</v>
      </c>
      <c r="Q648" s="2668"/>
      <c r="R648" s="985"/>
      <c r="S648" s="985"/>
      <c r="T648" s="1858">
        <f t="shared" si="108"/>
        <v>0</v>
      </c>
    </row>
    <row r="649" spans="1:20" ht="22.2" hidden="1" customHeight="1">
      <c r="A649" s="1444">
        <f>COUNTIF($C$12:C649,"x")</f>
        <v>36</v>
      </c>
      <c r="B649" s="1451" t="s">
        <v>794</v>
      </c>
      <c r="C649" s="60" t="str">
        <f t="shared" si="109"/>
        <v xml:space="preserve"> </v>
      </c>
      <c r="D649" s="1421"/>
      <c r="E649" s="976" t="str">
        <f>VLOOKUP($B649,DG!A:D,DG!$B$2,)</f>
        <v>03.3123</v>
      </c>
      <c r="F649" s="981" t="str">
        <f>VLOOKUP($B649,DG!A:D,DG!C$2,)</f>
        <v>Đào rãnh tiếp địa đất cấp 3</v>
      </c>
      <c r="G649" s="976" t="str">
        <f>VLOOKUP($B649,DG!A:D,DG!$D$2,)</f>
        <v>m3</v>
      </c>
      <c r="H649" s="1689">
        <f t="shared" si="117"/>
        <v>0</v>
      </c>
      <c r="I649" s="1689"/>
      <c r="J649" s="1689"/>
      <c r="K649" s="1689"/>
      <c r="L649" s="1689"/>
      <c r="M649" s="1689"/>
      <c r="N649" s="1689"/>
      <c r="O649" s="1689"/>
      <c r="P649" s="1690">
        <f>$P$640*D649</f>
        <v>0</v>
      </c>
      <c r="Q649" s="2668"/>
      <c r="R649" s="985"/>
      <c r="S649" s="985"/>
      <c r="T649" s="1858">
        <f t="shared" si="108"/>
        <v>0</v>
      </c>
    </row>
    <row r="650" spans="1:20" ht="22.2" hidden="1" customHeight="1">
      <c r="A650" s="1444">
        <f>COUNTIF($C$12:C650,"x")</f>
        <v>36</v>
      </c>
      <c r="B650" s="1451" t="s">
        <v>798</v>
      </c>
      <c r="C650" s="60" t="str">
        <f t="shared" si="109"/>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8"/>
        <v>0</v>
      </c>
    </row>
    <row r="651" spans="1:20" ht="22.2" hidden="1" customHeight="1">
      <c r="A651" s="1444">
        <f>COUNTIF($C$12:C651,"x")</f>
        <v>36</v>
      </c>
      <c r="B651" s="1460" t="s">
        <v>1903</v>
      </c>
      <c r="C651" s="60" t="str">
        <f t="shared" si="109"/>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8"/>
        <v>0</v>
      </c>
    </row>
    <row r="652" spans="1:20" ht="22.2" hidden="1" customHeight="1">
      <c r="A652" s="1444">
        <f>COUNTIF($C$12:C652,"x")</f>
        <v>36</v>
      </c>
      <c r="B652" s="1448" t="s">
        <v>4813</v>
      </c>
      <c r="C652" s="60" t="str">
        <f t="shared" ref="C652:C662" si="119">IF(OR(P652&lt;&gt;0,H652&lt;&gt;0),"x"," ")</f>
        <v xml:space="preserve"> </v>
      </c>
      <c r="D652" s="1420"/>
      <c r="E652" s="977"/>
      <c r="F652" s="1272" t="s">
        <v>4811</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2" hidden="1" customHeight="1">
      <c r="A653" s="1444">
        <f>COUNTIF($C$12:C653,"x")</f>
        <v>36</v>
      </c>
      <c r="B653" s="1451" t="s">
        <v>103</v>
      </c>
      <c r="C653" s="60" t="str">
        <f t="shared" si="119"/>
        <v xml:space="preserve"> </v>
      </c>
      <c r="D653" s="1410">
        <v>0.45</v>
      </c>
      <c r="E653" s="976"/>
      <c r="F653" s="988" t="str">
        <f>VLOOKUP($B653,DG!A:D,DG!C$2,)</f>
        <v>Cáp đồng trần M25mm2</v>
      </c>
      <c r="G653" s="976" t="str">
        <f>VLOOKUP($B653,DG!A:D,DG!$D$2,)</f>
        <v>kg</v>
      </c>
      <c r="H653" s="1689">
        <f>H$652*$D653</f>
        <v>0</v>
      </c>
      <c r="I653" s="1689">
        <f t="shared" ref="I653:R653" si="120">I$652*$D653</f>
        <v>0</v>
      </c>
      <c r="J653" s="1689">
        <f t="shared" si="120"/>
        <v>0</v>
      </c>
      <c r="K653" s="1689">
        <f t="shared" si="120"/>
        <v>0</v>
      </c>
      <c r="L653" s="1689">
        <f t="shared" si="120"/>
        <v>0</v>
      </c>
      <c r="M653" s="1689">
        <f t="shared" si="120"/>
        <v>0</v>
      </c>
      <c r="N653" s="1689">
        <f t="shared" si="120"/>
        <v>0</v>
      </c>
      <c r="O653" s="1689">
        <f t="shared" si="120"/>
        <v>0</v>
      </c>
      <c r="P653" s="1689">
        <f t="shared" si="120"/>
        <v>0</v>
      </c>
      <c r="Q653" s="1689">
        <f t="shared" si="120"/>
        <v>0</v>
      </c>
      <c r="R653" s="1689">
        <f t="shared" si="120"/>
        <v>0</v>
      </c>
      <c r="S653" s="985"/>
      <c r="T653" s="1858">
        <f t="shared" ref="T653:T662" si="121">IFERROR(HLOOKUP(B653,BangKeTru,3,0),0)</f>
        <v>0</v>
      </c>
    </row>
    <row r="654" spans="1:20" ht="22.2" hidden="1" customHeight="1">
      <c r="A654" s="1444">
        <f>COUNTIF($C$12:C654,"x")</f>
        <v>36</v>
      </c>
      <c r="B654" s="1451" t="s">
        <v>1508</v>
      </c>
      <c r="C654" s="60" t="str">
        <f t="shared" si="119"/>
        <v xml:space="preserve"> </v>
      </c>
      <c r="D654" s="1411">
        <v>0</v>
      </c>
      <c r="E654" s="976"/>
      <c r="F654" s="988" t="str">
        <f>VLOOKUP($B654,DG!A:D,DG!C$2,)</f>
        <v>Cọc tiếp đất Þ 16- 2,4m + kẹp cọc mạ đồng</v>
      </c>
      <c r="G654" s="976" t="str">
        <f>VLOOKUP($B654,DG!A:D,DG!$D$2,)</f>
        <v>bộ</v>
      </c>
      <c r="H654" s="1689">
        <f t="shared" ref="H654:R662" si="122">H$652*$D654</f>
        <v>0</v>
      </c>
      <c r="I654" s="1689">
        <f t="shared" si="122"/>
        <v>0</v>
      </c>
      <c r="J654" s="1689">
        <f t="shared" si="122"/>
        <v>0</v>
      </c>
      <c r="K654" s="1689">
        <f t="shared" si="122"/>
        <v>0</v>
      </c>
      <c r="L654" s="1689">
        <f t="shared" si="122"/>
        <v>0</v>
      </c>
      <c r="M654" s="1689">
        <f t="shared" si="122"/>
        <v>0</v>
      </c>
      <c r="N654" s="1689">
        <f t="shared" si="122"/>
        <v>0</v>
      </c>
      <c r="O654" s="1689">
        <f t="shared" si="122"/>
        <v>0</v>
      </c>
      <c r="P654" s="1689">
        <f t="shared" si="122"/>
        <v>0</v>
      </c>
      <c r="Q654" s="1689">
        <f t="shared" si="122"/>
        <v>0</v>
      </c>
      <c r="R654" s="1689">
        <f t="shared" si="122"/>
        <v>0</v>
      </c>
      <c r="S654" s="985"/>
      <c r="T654" s="1858">
        <f t="shared" si="121"/>
        <v>0</v>
      </c>
    </row>
    <row r="655" spans="1:20" ht="22.2" hidden="1" customHeight="1">
      <c r="A655" s="1444">
        <f>COUNTIF($C$12:C655,"x")</f>
        <v>36</v>
      </c>
      <c r="B655" s="1451" t="s">
        <v>4812</v>
      </c>
      <c r="C655" s="60" t="str">
        <f t="shared" si="119"/>
        <v xml:space="preserve"> </v>
      </c>
      <c r="D655" s="1411">
        <v>2</v>
      </c>
      <c r="E655" s="976"/>
      <c r="F655" s="988" t="str">
        <f>VLOOKUP($B655,DG!A:D,DG!C$2,)</f>
        <v>Kẹp ép WR cỡ dây 70mm2</v>
      </c>
      <c r="G655" s="976" t="str">
        <f>VLOOKUP($B655,DG!A:D,DG!$D$2,)</f>
        <v>cái</v>
      </c>
      <c r="H655" s="1689">
        <f t="shared" si="122"/>
        <v>0</v>
      </c>
      <c r="I655" s="1689">
        <f t="shared" si="122"/>
        <v>0</v>
      </c>
      <c r="J655" s="1689">
        <f t="shared" si="122"/>
        <v>0</v>
      </c>
      <c r="K655" s="1689">
        <f t="shared" si="122"/>
        <v>0</v>
      </c>
      <c r="L655" s="1689">
        <f t="shared" si="122"/>
        <v>0</v>
      </c>
      <c r="M655" s="1689">
        <f t="shared" si="122"/>
        <v>0</v>
      </c>
      <c r="N655" s="1689">
        <f t="shared" si="122"/>
        <v>0</v>
      </c>
      <c r="O655" s="1689">
        <f t="shared" si="122"/>
        <v>0</v>
      </c>
      <c r="P655" s="1689">
        <f t="shared" si="122"/>
        <v>0</v>
      </c>
      <c r="Q655" s="1689">
        <f t="shared" si="122"/>
        <v>0</v>
      </c>
      <c r="R655" s="1689">
        <f t="shared" si="122"/>
        <v>0</v>
      </c>
      <c r="S655" s="985"/>
      <c r="T655" s="1858">
        <f t="shared" si="121"/>
        <v>0</v>
      </c>
    </row>
    <row r="656" spans="1:20" ht="22.2" hidden="1" customHeight="1">
      <c r="A656" s="1444">
        <f>COUNTIF($C$12:C656,"x")</f>
        <v>36</v>
      </c>
      <c r="B656" s="1451" t="s">
        <v>1052</v>
      </c>
      <c r="C656" s="60" t="str">
        <f t="shared" si="119"/>
        <v xml:space="preserve"> </v>
      </c>
      <c r="D656" s="1411"/>
      <c r="E656" s="976"/>
      <c r="F656" s="988" t="str">
        <f>VLOOKUP($B656,DG!A:D,DG!C$2,)</f>
        <v>Đầu cosse ép Cu 25mm2</v>
      </c>
      <c r="G656" s="976" t="str">
        <f>VLOOKUP($B656,DG!A:D,DG!$D$2,)</f>
        <v>cái</v>
      </c>
      <c r="H656" s="1689">
        <f t="shared" si="122"/>
        <v>0</v>
      </c>
      <c r="I656" s="1689">
        <f t="shared" si="122"/>
        <v>0</v>
      </c>
      <c r="J656" s="1689">
        <f t="shared" si="122"/>
        <v>0</v>
      </c>
      <c r="K656" s="1689">
        <f t="shared" si="122"/>
        <v>0</v>
      </c>
      <c r="L656" s="1689">
        <f t="shared" si="122"/>
        <v>0</v>
      </c>
      <c r="M656" s="1689">
        <f t="shared" si="122"/>
        <v>0</v>
      </c>
      <c r="N656" s="1689">
        <f t="shared" si="122"/>
        <v>0</v>
      </c>
      <c r="O656" s="1689">
        <f t="shared" si="122"/>
        <v>0</v>
      </c>
      <c r="P656" s="1689">
        <f t="shared" si="122"/>
        <v>0</v>
      </c>
      <c r="Q656" s="1689">
        <f t="shared" si="122"/>
        <v>0</v>
      </c>
      <c r="R656" s="1689">
        <f t="shared" si="122"/>
        <v>0</v>
      </c>
      <c r="S656" s="985"/>
      <c r="T656" s="1858">
        <f t="shared" si="121"/>
        <v>0</v>
      </c>
    </row>
    <row r="657" spans="1:20" ht="22.2" hidden="1" customHeight="1">
      <c r="A657" s="1444">
        <f>COUNTIF($C$12:C657,"x")</f>
        <v>36</v>
      </c>
      <c r="B657" s="1451" t="s">
        <v>2019</v>
      </c>
      <c r="C657" s="60" t="str">
        <f t="shared" si="119"/>
        <v xml:space="preserve"> </v>
      </c>
      <c r="D657" s="1411"/>
      <c r="E657" s="976"/>
      <c r="F657" s="988" t="str">
        <f>VLOOKUP($B657,DG!A:D,DG!C$2,)</f>
        <v>Boulon 12x40+ 2 long đền vuông D14-50x50x3/Zn</v>
      </c>
      <c r="G657" s="976" t="str">
        <f>VLOOKUP($B657,DG!A:D,DG!$D$2,)</f>
        <v>bộ</v>
      </c>
      <c r="H657" s="1689">
        <f t="shared" si="122"/>
        <v>0</v>
      </c>
      <c r="I657" s="1689">
        <f t="shared" si="122"/>
        <v>0</v>
      </c>
      <c r="J657" s="1689">
        <f t="shared" si="122"/>
        <v>0</v>
      </c>
      <c r="K657" s="1689">
        <f t="shared" si="122"/>
        <v>0</v>
      </c>
      <c r="L657" s="1689">
        <f t="shared" si="122"/>
        <v>0</v>
      </c>
      <c r="M657" s="1689">
        <f t="shared" si="122"/>
        <v>0</v>
      </c>
      <c r="N657" s="1689">
        <f t="shared" si="122"/>
        <v>0</v>
      </c>
      <c r="O657" s="1689">
        <f t="shared" si="122"/>
        <v>0</v>
      </c>
      <c r="P657" s="1689">
        <f t="shared" si="122"/>
        <v>0</v>
      </c>
      <c r="Q657" s="1689">
        <f t="shared" si="122"/>
        <v>0</v>
      </c>
      <c r="R657" s="1689">
        <f t="shared" si="122"/>
        <v>0</v>
      </c>
      <c r="S657" s="985"/>
      <c r="T657" s="1858">
        <f t="shared" si="121"/>
        <v>0</v>
      </c>
    </row>
    <row r="658" spans="1:20" ht="22.2" hidden="1" customHeight="1">
      <c r="A658" s="1444">
        <f>COUNTIF($C$12:C658,"x")</f>
        <v>36</v>
      </c>
      <c r="B658" s="1451" t="s">
        <v>1517</v>
      </c>
      <c r="C658" s="60" t="str">
        <f t="shared" si="119"/>
        <v xml:space="preserve"> </v>
      </c>
      <c r="D658" s="1410">
        <f>D653</f>
        <v>0.45</v>
      </c>
      <c r="E658" s="976" t="str">
        <f>VLOOKUP($B658,DG!A:D,DG!$B$2,)</f>
        <v>05.7001</v>
      </c>
      <c r="F658" s="981" t="str">
        <f>VLOOKUP($B658,DG!A:D,DG!C$2,)</f>
        <v xml:space="preserve">Kéo dây tiếp địa </v>
      </c>
      <c r="G658" s="976" t="str">
        <f>VLOOKUP($B658,DG!A:D,DG!$D$2,)</f>
        <v>mét</v>
      </c>
      <c r="H658" s="1689">
        <f t="shared" si="122"/>
        <v>0</v>
      </c>
      <c r="I658" s="1689">
        <f t="shared" si="122"/>
        <v>0</v>
      </c>
      <c r="J658" s="1689">
        <f t="shared" si="122"/>
        <v>0</v>
      </c>
      <c r="K658" s="1689">
        <f t="shared" si="122"/>
        <v>0</v>
      </c>
      <c r="L658" s="1689">
        <f t="shared" si="122"/>
        <v>0</v>
      </c>
      <c r="M658" s="1689">
        <f t="shared" si="122"/>
        <v>0</v>
      </c>
      <c r="N658" s="1689">
        <f t="shared" si="122"/>
        <v>0</v>
      </c>
      <c r="O658" s="1689">
        <f t="shared" si="122"/>
        <v>0</v>
      </c>
      <c r="P658" s="1689">
        <f t="shared" si="122"/>
        <v>0</v>
      </c>
      <c r="Q658" s="1689">
        <f t="shared" si="122"/>
        <v>0</v>
      </c>
      <c r="R658" s="1689">
        <f t="shared" si="122"/>
        <v>0</v>
      </c>
      <c r="S658" s="990"/>
      <c r="T658" s="1858">
        <f t="shared" si="121"/>
        <v>0</v>
      </c>
    </row>
    <row r="659" spans="1:20" ht="22.2" hidden="1" customHeight="1">
      <c r="A659" s="1444">
        <f>COUNTIF($C$12:C659,"x")</f>
        <v>36</v>
      </c>
      <c r="B659" s="1451" t="s">
        <v>1104</v>
      </c>
      <c r="C659" s="60" t="str">
        <f t="shared" si="119"/>
        <v xml:space="preserve"> </v>
      </c>
      <c r="D659" s="1411">
        <f>D654</f>
        <v>0</v>
      </c>
      <c r="E659" s="976" t="str">
        <f>VLOOKUP($B659,DG!A:D,DG!$B$2,)</f>
        <v>05.8103</v>
      </c>
      <c r="F659" s="981" t="str">
        <f>VLOOKUP($B659,DG!A:D,DG!C$2,)</f>
        <v>Đóng cọc tiếp địa đất cấp 3</v>
      </c>
      <c r="G659" s="976" t="str">
        <f>VLOOKUP($B659,DG!A:D,DG!$D$2,)</f>
        <v>cọc</v>
      </c>
      <c r="H659" s="1689">
        <f t="shared" si="122"/>
        <v>0</v>
      </c>
      <c r="I659" s="1689">
        <f t="shared" si="122"/>
        <v>0</v>
      </c>
      <c r="J659" s="1689">
        <f t="shared" si="122"/>
        <v>0</v>
      </c>
      <c r="K659" s="1689">
        <f t="shared" si="122"/>
        <v>0</v>
      </c>
      <c r="L659" s="1689">
        <f t="shared" si="122"/>
        <v>0</v>
      </c>
      <c r="M659" s="1689">
        <f t="shared" si="122"/>
        <v>0</v>
      </c>
      <c r="N659" s="1689">
        <f t="shared" si="122"/>
        <v>0</v>
      </c>
      <c r="O659" s="1689">
        <f t="shared" si="122"/>
        <v>0</v>
      </c>
      <c r="P659" s="1689">
        <f t="shared" si="122"/>
        <v>0</v>
      </c>
      <c r="Q659" s="1689">
        <f t="shared" si="122"/>
        <v>0</v>
      </c>
      <c r="R659" s="1689">
        <f t="shared" si="122"/>
        <v>0</v>
      </c>
      <c r="S659" s="985"/>
      <c r="T659" s="1858">
        <f t="shared" si="121"/>
        <v>0</v>
      </c>
    </row>
    <row r="660" spans="1:20" ht="22.2" hidden="1" customHeight="1">
      <c r="A660" s="1444">
        <f>COUNTIF($C$12:C660,"x")</f>
        <v>36</v>
      </c>
      <c r="B660" s="1451" t="s">
        <v>794</v>
      </c>
      <c r="C660" s="60" t="str">
        <f t="shared" si="119"/>
        <v xml:space="preserve"> </v>
      </c>
      <c r="D660" s="1421">
        <v>0.3</v>
      </c>
      <c r="E660" s="976" t="str">
        <f>VLOOKUP($B660,DG!A:D,DG!$B$2,)</f>
        <v>03.3123</v>
      </c>
      <c r="F660" s="981" t="str">
        <f>VLOOKUP($B660,DG!A:D,DG!C$2,)</f>
        <v>Đào rãnh tiếp địa đất cấp 3</v>
      </c>
      <c r="G660" s="976" t="str">
        <f>VLOOKUP($B660,DG!A:D,DG!$D$2,)</f>
        <v>m3</v>
      </c>
      <c r="H660" s="1689">
        <f t="shared" si="122"/>
        <v>0</v>
      </c>
      <c r="I660" s="1689">
        <f t="shared" si="122"/>
        <v>0</v>
      </c>
      <c r="J660" s="1689">
        <f t="shared" si="122"/>
        <v>0</v>
      </c>
      <c r="K660" s="1689">
        <f t="shared" si="122"/>
        <v>0</v>
      </c>
      <c r="L660" s="1689">
        <f t="shared" si="122"/>
        <v>0</v>
      </c>
      <c r="M660" s="1689">
        <f t="shared" si="122"/>
        <v>0</v>
      </c>
      <c r="N660" s="1689">
        <f t="shared" si="122"/>
        <v>0</v>
      </c>
      <c r="O660" s="1689">
        <f t="shared" si="122"/>
        <v>0</v>
      </c>
      <c r="P660" s="1689">
        <f t="shared" si="122"/>
        <v>0</v>
      </c>
      <c r="Q660" s="1689">
        <f t="shared" si="122"/>
        <v>0</v>
      </c>
      <c r="R660" s="1689">
        <f t="shared" si="122"/>
        <v>0</v>
      </c>
      <c r="S660" s="985"/>
      <c r="T660" s="1858">
        <f t="shared" si="121"/>
        <v>0</v>
      </c>
    </row>
    <row r="661" spans="1:20" ht="22.2" hidden="1" customHeight="1">
      <c r="A661" s="1444">
        <f>COUNTIF($C$12:C661,"x")</f>
        <v>36</v>
      </c>
      <c r="B661" s="1451" t="s">
        <v>1902</v>
      </c>
      <c r="C661" s="60" t="str">
        <f t="shared" si="119"/>
        <v xml:space="preserve"> </v>
      </c>
      <c r="D661" s="1409"/>
      <c r="E661" s="976" t="str">
        <f>VLOOKUP($B661,DG!A:D,DG!$B$2,)</f>
        <v>02.1120</v>
      </c>
      <c r="F661" s="981" t="str">
        <f>VLOOKUP($B661,DG!A:D,DG!C$2,)</f>
        <v>Bốc dỡ phụ kiện</v>
      </c>
      <c r="G661" s="976" t="str">
        <f>VLOOKUP($B661,DG!A:D,DG!$D$2,)</f>
        <v>tấn</v>
      </c>
      <c r="H661" s="1689">
        <f t="shared" si="122"/>
        <v>0</v>
      </c>
      <c r="I661" s="1689">
        <f t="shared" si="122"/>
        <v>0</v>
      </c>
      <c r="J661" s="1689">
        <f t="shared" si="122"/>
        <v>0</v>
      </c>
      <c r="K661" s="1689">
        <f t="shared" si="122"/>
        <v>0</v>
      </c>
      <c r="L661" s="1689">
        <f t="shared" si="122"/>
        <v>0</v>
      </c>
      <c r="M661" s="1689">
        <f t="shared" si="122"/>
        <v>0</v>
      </c>
      <c r="N661" s="1689">
        <f t="shared" si="122"/>
        <v>0</v>
      </c>
      <c r="O661" s="1689">
        <f t="shared" si="122"/>
        <v>0</v>
      </c>
      <c r="P661" s="1689">
        <f t="shared" si="122"/>
        <v>0</v>
      </c>
      <c r="Q661" s="1689">
        <f t="shared" si="122"/>
        <v>0</v>
      </c>
      <c r="R661" s="1689">
        <f t="shared" si="122"/>
        <v>0</v>
      </c>
      <c r="S661" s="985"/>
      <c r="T661" s="1858">
        <f t="shared" si="121"/>
        <v>0</v>
      </c>
    </row>
    <row r="662" spans="1:20" ht="22.2" hidden="1" customHeight="1">
      <c r="A662" s="1444">
        <f>COUNTIF($C$12:C662,"x")</f>
        <v>36</v>
      </c>
      <c r="B662" s="1460" t="s">
        <v>1903</v>
      </c>
      <c r="C662" s="60" t="str">
        <f t="shared" si="119"/>
        <v xml:space="preserve"> </v>
      </c>
      <c r="D662" s="1409"/>
      <c r="E662" s="976" t="str">
        <f>VLOOKUP($B662,DG!A:C,2,)</f>
        <v>02.1351</v>
      </c>
      <c r="F662" s="981" t="str">
        <f>VLOOKUP($B662,DG!A:C,3,)</f>
        <v>V/c tiếp địa vào vị trí ( cự ly &lt;=100m)</v>
      </c>
      <c r="G662" s="976" t="str">
        <f>VLOOKUP($B662,DG!A:D,4,0)</f>
        <v>tấn</v>
      </c>
      <c r="H662" s="1689">
        <f t="shared" si="122"/>
        <v>0</v>
      </c>
      <c r="I662" s="1689">
        <f t="shared" si="122"/>
        <v>0</v>
      </c>
      <c r="J662" s="1689">
        <f t="shared" si="122"/>
        <v>0</v>
      </c>
      <c r="K662" s="1689">
        <f t="shared" si="122"/>
        <v>0</v>
      </c>
      <c r="L662" s="1689">
        <f t="shared" si="122"/>
        <v>0</v>
      </c>
      <c r="M662" s="1689">
        <f t="shared" si="122"/>
        <v>0</v>
      </c>
      <c r="N662" s="1689">
        <f t="shared" si="122"/>
        <v>0</v>
      </c>
      <c r="O662" s="1689">
        <f t="shared" si="122"/>
        <v>0</v>
      </c>
      <c r="P662" s="1689">
        <f t="shared" si="122"/>
        <v>0</v>
      </c>
      <c r="Q662" s="1689">
        <f t="shared" si="122"/>
        <v>0</v>
      </c>
      <c r="R662" s="1689">
        <f t="shared" si="122"/>
        <v>0</v>
      </c>
      <c r="S662" s="990"/>
      <c r="T662" s="1858">
        <f t="shared" si="121"/>
        <v>0</v>
      </c>
    </row>
    <row r="663" spans="1:20" ht="22.2" hidden="1" customHeight="1">
      <c r="A663" s="1444">
        <f>COUNTIF($C$12:C663,"x")</f>
        <v>36</v>
      </c>
      <c r="B663" s="1448" t="s">
        <v>6530</v>
      </c>
      <c r="C663" s="59" t="str">
        <f t="shared" si="109"/>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2" hidden="1" customHeight="1">
      <c r="A664" s="1444">
        <f>COUNTIF($C$12:C664,"x")</f>
        <v>36</v>
      </c>
      <c r="B664" s="1451" t="s">
        <v>103</v>
      </c>
      <c r="C664" s="60" t="str">
        <f t="shared" si="109"/>
        <v xml:space="preserve"> </v>
      </c>
      <c r="D664" s="1410">
        <v>11.872</v>
      </c>
      <c r="E664" s="976"/>
      <c r="F664" s="988" t="str">
        <f>VLOOKUP($B664,DG!A:D,DG!C$2,)&amp;" : 25m"</f>
        <v>Cáp đồng trần M25mm2 : 25m</v>
      </c>
      <c r="G664" s="976" t="str">
        <f>VLOOKUP($B664,DG!A:D,DG!$D$2,)</f>
        <v>kg</v>
      </c>
      <c r="H664" s="1689">
        <f>H$663*$D664</f>
        <v>0</v>
      </c>
      <c r="I664" s="1689">
        <f t="shared" ref="I664:R674" si="123">I$663*$D664</f>
        <v>0</v>
      </c>
      <c r="J664" s="1689">
        <f t="shared" si="123"/>
        <v>0</v>
      </c>
      <c r="K664" s="1689">
        <f t="shared" si="123"/>
        <v>0</v>
      </c>
      <c r="L664" s="1689">
        <f t="shared" si="123"/>
        <v>0</v>
      </c>
      <c r="M664" s="1689">
        <f t="shared" si="123"/>
        <v>0</v>
      </c>
      <c r="N664" s="1689">
        <f t="shared" si="123"/>
        <v>0</v>
      </c>
      <c r="O664" s="1689">
        <f t="shared" si="123"/>
        <v>0</v>
      </c>
      <c r="P664" s="1689">
        <f t="shared" si="123"/>
        <v>0</v>
      </c>
      <c r="Q664" s="1689">
        <f t="shared" si="123"/>
        <v>0</v>
      </c>
      <c r="R664" s="1689">
        <f t="shared" si="123"/>
        <v>0</v>
      </c>
      <c r="S664" s="985"/>
      <c r="T664" s="1858">
        <f t="shared" si="108"/>
        <v>0</v>
      </c>
    </row>
    <row r="665" spans="1:20" ht="22.2" hidden="1" customHeight="1">
      <c r="A665" s="1444">
        <f>COUNTIF($C$12:C665,"x")</f>
        <v>36</v>
      </c>
      <c r="B665" s="1451" t="s">
        <v>1508</v>
      </c>
      <c r="C665" s="60" t="str">
        <f t="shared" si="109"/>
        <v xml:space="preserve"> </v>
      </c>
      <c r="D665" s="1411">
        <v>9</v>
      </c>
      <c r="E665" s="976"/>
      <c r="F665" s="988" t="str">
        <f>VLOOKUP($B665,DG!A:D,DG!C$2,)</f>
        <v>Cọc tiếp đất Þ 16- 2,4m + kẹp cọc mạ đồng</v>
      </c>
      <c r="G665" s="976" t="str">
        <f>VLOOKUP($B665,DG!A:D,DG!$D$2,)</f>
        <v>bộ</v>
      </c>
      <c r="H665" s="1689">
        <f t="shared" ref="H665:H674" si="124">H$663*$D665</f>
        <v>0</v>
      </c>
      <c r="I665" s="1689">
        <f t="shared" si="123"/>
        <v>0</v>
      </c>
      <c r="J665" s="1689">
        <f t="shared" si="123"/>
        <v>0</v>
      </c>
      <c r="K665" s="1689">
        <f t="shared" si="123"/>
        <v>0</v>
      </c>
      <c r="L665" s="1689">
        <f t="shared" si="123"/>
        <v>0</v>
      </c>
      <c r="M665" s="1689">
        <f t="shared" si="123"/>
        <v>0</v>
      </c>
      <c r="N665" s="1689">
        <f t="shared" si="123"/>
        <v>0</v>
      </c>
      <c r="O665" s="1689">
        <f t="shared" si="123"/>
        <v>0</v>
      </c>
      <c r="P665" s="1689">
        <f t="shared" si="123"/>
        <v>0</v>
      </c>
      <c r="Q665" s="1689">
        <f t="shared" si="123"/>
        <v>0</v>
      </c>
      <c r="R665" s="1689">
        <f t="shared" si="123"/>
        <v>0</v>
      </c>
      <c r="S665" s="985"/>
      <c r="T665" s="1858">
        <f t="shared" si="108"/>
        <v>0</v>
      </c>
    </row>
    <row r="666" spans="1:20" ht="22.2" hidden="1" customHeight="1">
      <c r="A666" s="1444">
        <f>COUNTIF($C$12:C666,"x")</f>
        <v>36</v>
      </c>
      <c r="B666" s="1451" t="s">
        <v>6531</v>
      </c>
      <c r="C666" s="60" t="str">
        <f t="shared" ref="C666" si="125">IF(OR(P666&lt;&gt;0,H666&lt;&gt;0),"x"," ")</f>
        <v xml:space="preserve"> </v>
      </c>
      <c r="D666" s="1411">
        <v>2</v>
      </c>
      <c r="E666" s="976"/>
      <c r="F666" s="988" t="str">
        <f>VLOOKUP($B666,DG!A:D,DG!C$2,)</f>
        <v>Kẹp ép WR cỡ dây 185mm2</v>
      </c>
      <c r="G666" s="976" t="str">
        <f>VLOOKUP($B666,DG!A:D,DG!$D$2,)</f>
        <v>cái</v>
      </c>
      <c r="H666" s="1689">
        <f t="shared" si="124"/>
        <v>0</v>
      </c>
      <c r="I666" s="1689">
        <f t="shared" si="123"/>
        <v>0</v>
      </c>
      <c r="J666" s="1689">
        <f t="shared" si="123"/>
        <v>0</v>
      </c>
      <c r="K666" s="1689">
        <f t="shared" si="123"/>
        <v>0</v>
      </c>
      <c r="L666" s="1689">
        <f t="shared" si="123"/>
        <v>0</v>
      </c>
      <c r="M666" s="1689">
        <f t="shared" si="123"/>
        <v>0</v>
      </c>
      <c r="N666" s="1689">
        <f t="shared" si="123"/>
        <v>0</v>
      </c>
      <c r="O666" s="1689">
        <f t="shared" si="123"/>
        <v>0</v>
      </c>
      <c r="P666" s="1689">
        <f t="shared" si="123"/>
        <v>0</v>
      </c>
      <c r="Q666" s="1689">
        <f t="shared" si="123"/>
        <v>0</v>
      </c>
      <c r="R666" s="1689">
        <f t="shared" si="123"/>
        <v>0</v>
      </c>
      <c r="S666" s="985"/>
      <c r="T666" s="1858">
        <f t="shared" ref="T666" si="126">IFERROR(HLOOKUP(B666,BangKeTru,3,0),0)</f>
        <v>0</v>
      </c>
    </row>
    <row r="667" spans="1:20" ht="22.2" hidden="1" customHeight="1">
      <c r="A667" s="1444">
        <f>COUNTIF($C$12:C667,"x")</f>
        <v>36</v>
      </c>
      <c r="B667" s="1451" t="s">
        <v>1062</v>
      </c>
      <c r="C667" s="60" t="str">
        <f t="shared" ref="C667" si="127">IF(OR(P667&lt;&gt;0,H667&lt;&gt;0),"x"," ")</f>
        <v xml:space="preserve"> </v>
      </c>
      <c r="D667" s="1411">
        <v>8</v>
      </c>
      <c r="E667" s="976"/>
      <c r="F667" s="988" t="str">
        <f>VLOOKUP($B667,DG!A:D,DG!C$2,)</f>
        <v>Ốc siết cáp cỡ 25mm2</v>
      </c>
      <c r="G667" s="976" t="str">
        <f>VLOOKUP($B667,DG!A:D,DG!$D$2,)</f>
        <v>cái</v>
      </c>
      <c r="H667" s="1689">
        <f t="shared" si="124"/>
        <v>0</v>
      </c>
      <c r="I667" s="1689">
        <f t="shared" si="123"/>
        <v>0</v>
      </c>
      <c r="J667" s="1689">
        <f t="shared" si="123"/>
        <v>0</v>
      </c>
      <c r="K667" s="1689">
        <f t="shared" si="123"/>
        <v>0</v>
      </c>
      <c r="L667" s="1689">
        <f t="shared" si="123"/>
        <v>0</v>
      </c>
      <c r="M667" s="1689">
        <f t="shared" si="123"/>
        <v>0</v>
      </c>
      <c r="N667" s="1689">
        <f t="shared" si="123"/>
        <v>0</v>
      </c>
      <c r="O667" s="1689">
        <f t="shared" si="123"/>
        <v>0</v>
      </c>
      <c r="P667" s="1689">
        <f t="shared" si="123"/>
        <v>0</v>
      </c>
      <c r="Q667" s="1689">
        <f t="shared" si="123"/>
        <v>0</v>
      </c>
      <c r="R667" s="1689">
        <f t="shared" si="123"/>
        <v>0</v>
      </c>
      <c r="S667" s="985"/>
      <c r="T667" s="1858">
        <f t="shared" ref="T667" si="128">IFERROR(HLOOKUP(B667,BangKeTru,3,0),0)</f>
        <v>0</v>
      </c>
    </row>
    <row r="668" spans="1:20" ht="22.2" hidden="1" customHeight="1">
      <c r="A668" s="1444">
        <f>COUNTIF($C$12:C668,"x")</f>
        <v>36</v>
      </c>
      <c r="B668" s="1451" t="s">
        <v>1478</v>
      </c>
      <c r="C668" s="60" t="str">
        <f t="shared" si="109"/>
        <v xml:space="preserve"> </v>
      </c>
      <c r="D668" s="1411"/>
      <c r="E668" s="976"/>
      <c r="F668" s="988" t="str">
        <f>VLOOKUP($B668,DG!A:D,DG!C$2,)</f>
        <v>Kẹp nối đồng-nhôm</v>
      </c>
      <c r="G668" s="976" t="str">
        <f>VLOOKUP($B668,DG!A:D,DG!$D$2,)</f>
        <v>cái</v>
      </c>
      <c r="H668" s="1689">
        <f t="shared" si="124"/>
        <v>0</v>
      </c>
      <c r="I668" s="1689">
        <f t="shared" si="123"/>
        <v>0</v>
      </c>
      <c r="J668" s="1689">
        <f t="shared" si="123"/>
        <v>0</v>
      </c>
      <c r="K668" s="1689">
        <f t="shared" si="123"/>
        <v>0</v>
      </c>
      <c r="L668" s="1689">
        <f t="shared" si="123"/>
        <v>0</v>
      </c>
      <c r="M668" s="1689">
        <f t="shared" si="123"/>
        <v>0</v>
      </c>
      <c r="N668" s="1689">
        <f t="shared" si="123"/>
        <v>0</v>
      </c>
      <c r="O668" s="1689">
        <f t="shared" si="123"/>
        <v>0</v>
      </c>
      <c r="P668" s="1689">
        <f t="shared" si="123"/>
        <v>0</v>
      </c>
      <c r="Q668" s="1689">
        <f t="shared" si="123"/>
        <v>0</v>
      </c>
      <c r="R668" s="1689">
        <f t="shared" si="123"/>
        <v>0</v>
      </c>
      <c r="S668" s="985"/>
      <c r="T668" s="1858">
        <f t="shared" si="108"/>
        <v>0</v>
      </c>
    </row>
    <row r="669" spans="1:20" ht="22.2" hidden="1" customHeight="1">
      <c r="A669" s="1444">
        <f>COUNTIF($C$12:C669,"x")</f>
        <v>36</v>
      </c>
      <c r="B669" s="1451" t="s">
        <v>1052</v>
      </c>
      <c r="C669" s="60" t="str">
        <f t="shared" si="109"/>
        <v xml:space="preserve"> </v>
      </c>
      <c r="D669" s="1411"/>
      <c r="E669" s="976"/>
      <c r="F669" s="988" t="str">
        <f>VLOOKUP($B669,DG!A:D,DG!C$2,)</f>
        <v>Đầu cosse ép Cu 25mm2</v>
      </c>
      <c r="G669" s="976" t="str">
        <f>VLOOKUP($B669,DG!A:D,DG!$D$2,)</f>
        <v>cái</v>
      </c>
      <c r="H669" s="1689">
        <f t="shared" si="124"/>
        <v>0</v>
      </c>
      <c r="I669" s="1689">
        <f t="shared" si="123"/>
        <v>0</v>
      </c>
      <c r="J669" s="1689">
        <f t="shared" si="123"/>
        <v>0</v>
      </c>
      <c r="K669" s="1689">
        <f t="shared" si="123"/>
        <v>0</v>
      </c>
      <c r="L669" s="1689">
        <f t="shared" si="123"/>
        <v>0</v>
      </c>
      <c r="M669" s="1689">
        <f t="shared" si="123"/>
        <v>0</v>
      </c>
      <c r="N669" s="1689">
        <f t="shared" si="123"/>
        <v>0</v>
      </c>
      <c r="O669" s="1689">
        <f t="shared" si="123"/>
        <v>0</v>
      </c>
      <c r="P669" s="1689">
        <f t="shared" si="123"/>
        <v>0</v>
      </c>
      <c r="Q669" s="1689">
        <f t="shared" si="123"/>
        <v>0</v>
      </c>
      <c r="R669" s="1689">
        <f t="shared" si="123"/>
        <v>0</v>
      </c>
      <c r="S669" s="985"/>
      <c r="T669" s="1858">
        <f t="shared" si="108"/>
        <v>0</v>
      </c>
    </row>
    <row r="670" spans="1:20" ht="22.2" hidden="1" customHeight="1">
      <c r="A670" s="1444">
        <f>COUNTIF($C$12:C670,"x")</f>
        <v>36</v>
      </c>
      <c r="B670" s="1451" t="s">
        <v>2019</v>
      </c>
      <c r="C670" s="60" t="str">
        <f t="shared" si="109"/>
        <v xml:space="preserve"> </v>
      </c>
      <c r="D670" s="1411"/>
      <c r="E670" s="976"/>
      <c r="F670" s="988" t="str">
        <f>VLOOKUP($B670,DG!A:D,DG!C$2,)</f>
        <v>Boulon 12x40+ 2 long đền vuông D14-50x50x3/Zn</v>
      </c>
      <c r="G670" s="976" t="str">
        <f>VLOOKUP($B670,DG!A:D,DG!$D$2,)</f>
        <v>bộ</v>
      </c>
      <c r="H670" s="1689">
        <f t="shared" si="124"/>
        <v>0</v>
      </c>
      <c r="I670" s="1689">
        <f t="shared" si="123"/>
        <v>0</v>
      </c>
      <c r="J670" s="1689">
        <f t="shared" si="123"/>
        <v>0</v>
      </c>
      <c r="K670" s="1689">
        <f t="shared" si="123"/>
        <v>0</v>
      </c>
      <c r="L670" s="1689">
        <f t="shared" si="123"/>
        <v>0</v>
      </c>
      <c r="M670" s="1689">
        <f t="shared" si="123"/>
        <v>0</v>
      </c>
      <c r="N670" s="1689">
        <f t="shared" si="123"/>
        <v>0</v>
      </c>
      <c r="O670" s="1689">
        <f t="shared" si="123"/>
        <v>0</v>
      </c>
      <c r="P670" s="1689">
        <f t="shared" si="123"/>
        <v>0</v>
      </c>
      <c r="Q670" s="1689">
        <f t="shared" si="123"/>
        <v>0</v>
      </c>
      <c r="R670" s="1689">
        <f t="shared" si="123"/>
        <v>0</v>
      </c>
      <c r="S670" s="985"/>
      <c r="T670" s="1858">
        <f t="shared" si="108"/>
        <v>0</v>
      </c>
    </row>
    <row r="671" spans="1:20" ht="22.2" hidden="1" customHeight="1">
      <c r="A671" s="1444">
        <f>COUNTIF($C$12:C671,"x")</f>
        <v>36</v>
      </c>
      <c r="B671" s="1451" t="s">
        <v>1517</v>
      </c>
      <c r="C671" s="60" t="str">
        <f t="shared" si="109"/>
        <v xml:space="preserve"> </v>
      </c>
      <c r="D671" s="1410">
        <f>D664</f>
        <v>11.872</v>
      </c>
      <c r="E671" s="976" t="str">
        <f>VLOOKUP($B671,DG!A:D,DG!$B$2,)</f>
        <v>05.7001</v>
      </c>
      <c r="F671" s="981" t="str">
        <f>VLOOKUP($B671,DG!A:D,DG!C$2,)</f>
        <v xml:space="preserve">Kéo dây tiếp địa </v>
      </c>
      <c r="G671" s="976" t="str">
        <f>VLOOKUP($B671,DG!A:D,DG!$D$2,)</f>
        <v>mét</v>
      </c>
      <c r="H671" s="1689">
        <f t="shared" si="124"/>
        <v>0</v>
      </c>
      <c r="I671" s="1689">
        <f t="shared" si="123"/>
        <v>0</v>
      </c>
      <c r="J671" s="1689">
        <f t="shared" si="123"/>
        <v>0</v>
      </c>
      <c r="K671" s="1689">
        <f t="shared" si="123"/>
        <v>0</v>
      </c>
      <c r="L671" s="1689">
        <f t="shared" si="123"/>
        <v>0</v>
      </c>
      <c r="M671" s="1689">
        <f t="shared" si="123"/>
        <v>0</v>
      </c>
      <c r="N671" s="1689">
        <f t="shared" si="123"/>
        <v>0</v>
      </c>
      <c r="O671" s="1689">
        <f t="shared" si="123"/>
        <v>0</v>
      </c>
      <c r="P671" s="1689">
        <f t="shared" si="123"/>
        <v>0</v>
      </c>
      <c r="Q671" s="1689">
        <f t="shared" si="123"/>
        <v>0</v>
      </c>
      <c r="R671" s="1689">
        <f t="shared" si="123"/>
        <v>0</v>
      </c>
      <c r="S671" s="990"/>
      <c r="T671" s="1858">
        <f t="shared" si="108"/>
        <v>0</v>
      </c>
    </row>
    <row r="672" spans="1:20" ht="22.2" hidden="1" customHeight="1">
      <c r="A672" s="1444">
        <f>COUNTIF($C$12:C672,"x")</f>
        <v>36</v>
      </c>
      <c r="B672" s="1451" t="s">
        <v>1104</v>
      </c>
      <c r="C672" s="60" t="str">
        <f t="shared" si="109"/>
        <v xml:space="preserve"> </v>
      </c>
      <c r="D672" s="1411">
        <f>D665</f>
        <v>9</v>
      </c>
      <c r="E672" s="976" t="str">
        <f>VLOOKUP($B672,DG!A:D,DG!$B$2,)</f>
        <v>05.8103</v>
      </c>
      <c r="F672" s="981" t="str">
        <f>VLOOKUP($B672,DG!A:D,DG!C$2,)</f>
        <v>Đóng cọc tiếp địa đất cấp 3</v>
      </c>
      <c r="G672" s="976" t="str">
        <f>VLOOKUP($B672,DG!A:D,DG!$D$2,)</f>
        <v>cọc</v>
      </c>
      <c r="H672" s="1689">
        <f t="shared" si="124"/>
        <v>0</v>
      </c>
      <c r="I672" s="1689">
        <f t="shared" si="123"/>
        <v>0</v>
      </c>
      <c r="J672" s="1689">
        <f t="shared" si="123"/>
        <v>0</v>
      </c>
      <c r="K672" s="1689">
        <f t="shared" si="123"/>
        <v>0</v>
      </c>
      <c r="L672" s="1689">
        <f t="shared" si="123"/>
        <v>0</v>
      </c>
      <c r="M672" s="1689">
        <f t="shared" si="123"/>
        <v>0</v>
      </c>
      <c r="N672" s="1689">
        <f t="shared" si="123"/>
        <v>0</v>
      </c>
      <c r="O672" s="1689">
        <f t="shared" si="123"/>
        <v>0</v>
      </c>
      <c r="P672" s="1689">
        <f t="shared" si="123"/>
        <v>0</v>
      </c>
      <c r="Q672" s="1689">
        <f t="shared" si="123"/>
        <v>0</v>
      </c>
      <c r="R672" s="1689">
        <f t="shared" si="123"/>
        <v>0</v>
      </c>
      <c r="S672" s="985"/>
      <c r="T672" s="1858">
        <f t="shared" si="108"/>
        <v>0</v>
      </c>
    </row>
    <row r="673" spans="1:20" ht="22.2" hidden="1" customHeight="1">
      <c r="A673" s="1444">
        <f>COUNTIF($C$12:C673,"x")</f>
        <v>36</v>
      </c>
      <c r="B673" s="1451" t="s">
        <v>1902</v>
      </c>
      <c r="C673" s="60" t="str">
        <f t="shared" si="109"/>
        <v xml:space="preserve"> </v>
      </c>
      <c r="D673" s="1409"/>
      <c r="E673" s="976" t="str">
        <f>VLOOKUP($B673,DG!A:D,DG!$B$2,)</f>
        <v>02.1120</v>
      </c>
      <c r="F673" s="981" t="str">
        <f>VLOOKUP($B673,DG!A:D,DG!C$2,)</f>
        <v>Bốc dỡ phụ kiện</v>
      </c>
      <c r="G673" s="976" t="str">
        <f>VLOOKUP($B673,DG!A:D,DG!$D$2,)</f>
        <v>tấn</v>
      </c>
      <c r="H673" s="1689">
        <f t="shared" si="124"/>
        <v>0</v>
      </c>
      <c r="I673" s="1689">
        <f t="shared" si="123"/>
        <v>0</v>
      </c>
      <c r="J673" s="1689">
        <f t="shared" si="123"/>
        <v>0</v>
      </c>
      <c r="K673" s="1689">
        <f t="shared" si="123"/>
        <v>0</v>
      </c>
      <c r="L673" s="1689">
        <f t="shared" si="123"/>
        <v>0</v>
      </c>
      <c r="M673" s="1689">
        <f t="shared" si="123"/>
        <v>0</v>
      </c>
      <c r="N673" s="1689">
        <f t="shared" si="123"/>
        <v>0</v>
      </c>
      <c r="O673" s="1689">
        <f t="shared" si="123"/>
        <v>0</v>
      </c>
      <c r="P673" s="1689">
        <f t="shared" si="123"/>
        <v>0</v>
      </c>
      <c r="Q673" s="1689">
        <f t="shared" si="123"/>
        <v>0</v>
      </c>
      <c r="R673" s="1689">
        <f t="shared" si="123"/>
        <v>0</v>
      </c>
      <c r="S673" s="985"/>
      <c r="T673" s="1858">
        <f t="shared" si="108"/>
        <v>0</v>
      </c>
    </row>
    <row r="674" spans="1:20" ht="22.2" hidden="1" customHeight="1">
      <c r="A674" s="1444">
        <f>COUNTIF($C$12:C674,"x")</f>
        <v>36</v>
      </c>
      <c r="B674" s="1460" t="s">
        <v>1903</v>
      </c>
      <c r="C674" s="60" t="str">
        <f t="shared" si="109"/>
        <v xml:space="preserve"> </v>
      </c>
      <c r="D674" s="1409"/>
      <c r="E674" s="976" t="str">
        <f>VLOOKUP($B674,DG!A:C,2,)</f>
        <v>02.1351</v>
      </c>
      <c r="F674" s="981" t="str">
        <f>VLOOKUP($B674,DG!A:C,3,)</f>
        <v>V/c tiếp địa vào vị trí ( cự ly &lt;=100m)</v>
      </c>
      <c r="G674" s="976" t="str">
        <f>VLOOKUP($B674,DG!A:D,4,0)</f>
        <v>tấn</v>
      </c>
      <c r="H674" s="1689">
        <f t="shared" si="124"/>
        <v>0</v>
      </c>
      <c r="I674" s="1689">
        <f t="shared" si="123"/>
        <v>0</v>
      </c>
      <c r="J674" s="1689">
        <f t="shared" si="123"/>
        <v>0</v>
      </c>
      <c r="K674" s="1689">
        <f t="shared" si="123"/>
        <v>0</v>
      </c>
      <c r="L674" s="1689">
        <f t="shared" si="123"/>
        <v>0</v>
      </c>
      <c r="M674" s="1689">
        <f t="shared" si="123"/>
        <v>0</v>
      </c>
      <c r="N674" s="1689">
        <f t="shared" si="123"/>
        <v>0</v>
      </c>
      <c r="O674" s="1689">
        <f t="shared" si="123"/>
        <v>0</v>
      </c>
      <c r="P674" s="1689">
        <f t="shared" si="123"/>
        <v>0</v>
      </c>
      <c r="Q674" s="1689">
        <f t="shared" si="123"/>
        <v>0</v>
      </c>
      <c r="R674" s="1689">
        <f t="shared" si="123"/>
        <v>0</v>
      </c>
      <c r="S674" s="990"/>
      <c r="T674" s="1858">
        <f t="shared" si="108"/>
        <v>0</v>
      </c>
    </row>
    <row r="675" spans="1:20" ht="22.2" hidden="1" customHeight="1">
      <c r="A675" s="1444">
        <f>COUNTIF($C$12:C675,"x")</f>
        <v>36</v>
      </c>
      <c r="B675" s="1448" t="s">
        <v>1638</v>
      </c>
      <c r="C675" s="59" t="str">
        <f t="shared" si="109"/>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2" hidden="1" customHeight="1">
      <c r="A676" s="1444">
        <f>COUNTIF($C$12:C676,"x")</f>
        <v>36</v>
      </c>
      <c r="B676" s="1451" t="s">
        <v>103</v>
      </c>
      <c r="C676" s="60" t="str">
        <f t="shared" si="109"/>
        <v xml:space="preserve"> </v>
      </c>
      <c r="D676" s="1410">
        <f>14*0.224</f>
        <v>3.1360000000000001</v>
      </c>
      <c r="E676" s="976"/>
      <c r="F676" s="988" t="str">
        <f>VLOOKUP($B676,DG!A:D,DG!C$2,)&amp;" (14m)"</f>
        <v>Cáp đồng trần M25mm2 (14m)</v>
      </c>
      <c r="G676" s="976" t="str">
        <f>VLOOKUP($B676,DG!A:D,DG!$D$2,)</f>
        <v>kg</v>
      </c>
      <c r="H676" s="1689">
        <f t="shared" ref="H676:N678" si="129">H$675*$D676</f>
        <v>0</v>
      </c>
      <c r="I676" s="1689">
        <f t="shared" si="129"/>
        <v>0</v>
      </c>
      <c r="J676" s="1689">
        <f t="shared" si="129"/>
        <v>0</v>
      </c>
      <c r="K676" s="1689">
        <f t="shared" si="129"/>
        <v>0</v>
      </c>
      <c r="L676" s="1689">
        <f t="shared" si="129"/>
        <v>0</v>
      </c>
      <c r="M676" s="1689">
        <f t="shared" si="129"/>
        <v>0</v>
      </c>
      <c r="N676" s="1689">
        <f t="shared" si="129"/>
        <v>0</v>
      </c>
      <c r="O676" s="1689"/>
      <c r="P676" s="1689"/>
      <c r="Q676" s="985"/>
      <c r="R676" s="985"/>
      <c r="S676" s="985"/>
      <c r="T676" s="1858">
        <f t="shared" si="108"/>
        <v>0</v>
      </c>
    </row>
    <row r="677" spans="1:20" ht="22.2" hidden="1" customHeight="1">
      <c r="A677" s="1444">
        <f>COUNTIF($C$12:C677,"x")</f>
        <v>36</v>
      </c>
      <c r="B677" s="1451" t="s">
        <v>1508</v>
      </c>
      <c r="C677" s="60" t="str">
        <f t="shared" si="109"/>
        <v xml:space="preserve"> </v>
      </c>
      <c r="D677" s="1411">
        <v>1</v>
      </c>
      <c r="E677" s="976"/>
      <c r="F677" s="988" t="str">
        <f>VLOOKUP($B677,DG!A:D,DG!C$2,)</f>
        <v>Cọc tiếp đất Þ 16- 2,4m + kẹp cọc mạ đồng</v>
      </c>
      <c r="G677" s="976" t="str">
        <f>VLOOKUP($B677,DG!A:D,DG!$D$2,)</f>
        <v>bộ</v>
      </c>
      <c r="H677" s="1689">
        <f t="shared" si="129"/>
        <v>0</v>
      </c>
      <c r="I677" s="1689">
        <f t="shared" si="129"/>
        <v>0</v>
      </c>
      <c r="J677" s="1689">
        <f t="shared" si="129"/>
        <v>0</v>
      </c>
      <c r="K677" s="1689">
        <f t="shared" si="129"/>
        <v>0</v>
      </c>
      <c r="L677" s="1689">
        <f t="shared" si="129"/>
        <v>0</v>
      </c>
      <c r="M677" s="1689">
        <f t="shared" si="129"/>
        <v>0</v>
      </c>
      <c r="N677" s="1689">
        <f t="shared" si="129"/>
        <v>0</v>
      </c>
      <c r="O677" s="1689"/>
      <c r="P677" s="1689"/>
      <c r="Q677" s="985"/>
      <c r="R677" s="985"/>
      <c r="S677" s="985"/>
      <c r="T677" s="1858">
        <f t="shared" si="108"/>
        <v>0</v>
      </c>
    </row>
    <row r="678" spans="1:20" ht="22.2" hidden="1" customHeight="1">
      <c r="A678" s="1444">
        <f>COUNTIF($C$12:C678,"x")</f>
        <v>36</v>
      </c>
      <c r="B678" s="1451" t="s">
        <v>1478</v>
      </c>
      <c r="C678" s="60" t="str">
        <f t="shared" si="109"/>
        <v xml:space="preserve"> </v>
      </c>
      <c r="D678" s="1411">
        <v>2</v>
      </c>
      <c r="E678" s="976"/>
      <c r="F678" s="988" t="str">
        <f>VLOOKUP($B678,DG!A:D,DG!C$2,)</f>
        <v>Kẹp nối đồng-nhôm</v>
      </c>
      <c r="G678" s="976" t="str">
        <f>VLOOKUP($B678,DG!A:D,DG!$D$2,)</f>
        <v>cái</v>
      </c>
      <c r="H678" s="1689">
        <f t="shared" si="129"/>
        <v>0</v>
      </c>
      <c r="I678" s="1689">
        <f t="shared" si="129"/>
        <v>0</v>
      </c>
      <c r="J678" s="1689">
        <f t="shared" si="129"/>
        <v>0</v>
      </c>
      <c r="K678" s="1689">
        <f t="shared" si="129"/>
        <v>0</v>
      </c>
      <c r="L678" s="1689">
        <f t="shared" si="129"/>
        <v>0</v>
      </c>
      <c r="M678" s="1689">
        <f t="shared" si="129"/>
        <v>0</v>
      </c>
      <c r="N678" s="1689">
        <f t="shared" si="129"/>
        <v>0</v>
      </c>
      <c r="O678" s="1689"/>
      <c r="P678" s="1689"/>
      <c r="Q678" s="985"/>
      <c r="R678" s="985"/>
      <c r="S678" s="985"/>
      <c r="T678" s="1858">
        <f t="shared" si="108"/>
        <v>0</v>
      </c>
    </row>
    <row r="679" spans="1:20" ht="22.2" hidden="1" customHeight="1">
      <c r="A679" s="1444">
        <f>COUNTIF($C$12:C679,"x")</f>
        <v>36</v>
      </c>
      <c r="B679" s="1451" t="s">
        <v>1052</v>
      </c>
      <c r="C679" s="60" t="str">
        <f t="shared" si="109"/>
        <v xml:space="preserve"> </v>
      </c>
      <c r="D679" s="1411">
        <v>2</v>
      </c>
      <c r="E679" s="976"/>
      <c r="F679" s="988" t="str">
        <f>VLOOKUP($B679,DG!A:D,DG!C$2,)</f>
        <v>Đầu cosse ép Cu 25mm2</v>
      </c>
      <c r="G679" s="976" t="str">
        <f>VLOOKUP($B679,DG!A:D,DG!$D$2,)</f>
        <v>cái</v>
      </c>
      <c r="H679" s="1689">
        <f t="shared" ref="H679:H684" si="130">H$675*$D679</f>
        <v>0</v>
      </c>
      <c r="I679" s="1689">
        <f t="shared" ref="I679:N680" si="131">I$629*$D679</f>
        <v>0</v>
      </c>
      <c r="J679" s="1689">
        <f t="shared" si="131"/>
        <v>0</v>
      </c>
      <c r="K679" s="1689">
        <f t="shared" si="131"/>
        <v>2</v>
      </c>
      <c r="L679" s="1689">
        <f t="shared" si="131"/>
        <v>0</v>
      </c>
      <c r="M679" s="1689">
        <f t="shared" si="131"/>
        <v>0</v>
      </c>
      <c r="N679" s="1689">
        <f t="shared" si="131"/>
        <v>0</v>
      </c>
      <c r="O679" s="1689"/>
      <c r="P679" s="1689"/>
      <c r="Q679" s="985"/>
      <c r="R679" s="985"/>
      <c r="S679" s="985"/>
      <c r="T679" s="1858">
        <f t="shared" si="108"/>
        <v>0</v>
      </c>
    </row>
    <row r="680" spans="1:20" ht="22.2" hidden="1" customHeight="1">
      <c r="A680" s="1444">
        <f>COUNTIF($C$12:C680,"x")</f>
        <v>36</v>
      </c>
      <c r="B680" s="1451" t="s">
        <v>2019</v>
      </c>
      <c r="C680" s="60" t="str">
        <f t="shared" si="109"/>
        <v xml:space="preserve"> </v>
      </c>
      <c r="D680" s="1411">
        <v>1</v>
      </c>
      <c r="E680" s="976"/>
      <c r="F680" s="988" t="str">
        <f>VLOOKUP($B680,DG!A:D,DG!C$2,)</f>
        <v>Boulon 12x40+ 2 long đền vuông D14-50x50x3/Zn</v>
      </c>
      <c r="G680" s="976" t="str">
        <f>VLOOKUP($B680,DG!A:D,DG!$D$2,)</f>
        <v>bộ</v>
      </c>
      <c r="H680" s="1689">
        <f t="shared" si="130"/>
        <v>0</v>
      </c>
      <c r="I680" s="1689">
        <f t="shared" si="131"/>
        <v>0</v>
      </c>
      <c r="J680" s="1689">
        <f t="shared" si="131"/>
        <v>0</v>
      </c>
      <c r="K680" s="1689">
        <f t="shared" si="131"/>
        <v>1</v>
      </c>
      <c r="L680" s="1689">
        <f t="shared" si="131"/>
        <v>0</v>
      </c>
      <c r="M680" s="1689">
        <f t="shared" si="131"/>
        <v>0</v>
      </c>
      <c r="N680" s="1689">
        <f t="shared" si="131"/>
        <v>0</v>
      </c>
      <c r="O680" s="1689"/>
      <c r="P680" s="1689"/>
      <c r="Q680" s="985"/>
      <c r="R680" s="985"/>
      <c r="S680" s="985"/>
      <c r="T680" s="1858">
        <f t="shared" si="108"/>
        <v>0</v>
      </c>
    </row>
    <row r="681" spans="1:20" ht="22.2" hidden="1" customHeight="1">
      <c r="A681" s="1444">
        <f>COUNTIF($C$12:C681,"x")</f>
        <v>36</v>
      </c>
      <c r="B681" s="1451" t="s">
        <v>1517</v>
      </c>
      <c r="C681" s="60" t="str">
        <f t="shared" si="109"/>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30"/>
        <v>0</v>
      </c>
      <c r="I681" s="1689"/>
      <c r="J681" s="1689"/>
      <c r="K681" s="1689"/>
      <c r="L681" s="1689"/>
      <c r="M681" s="1689"/>
      <c r="N681" s="1689"/>
      <c r="O681" s="1689"/>
      <c r="P681" s="1689"/>
      <c r="Q681" s="990"/>
      <c r="R681" s="990"/>
      <c r="S681" s="990"/>
      <c r="T681" s="1858">
        <f t="shared" si="108"/>
        <v>0</v>
      </c>
    </row>
    <row r="682" spans="1:20" ht="22.2" hidden="1" customHeight="1">
      <c r="A682" s="1444">
        <f>COUNTIF($C$12:C682,"x")</f>
        <v>36</v>
      </c>
      <c r="B682" s="1451" t="s">
        <v>1104</v>
      </c>
      <c r="C682" s="60" t="str">
        <f t="shared" si="109"/>
        <v xml:space="preserve"> </v>
      </c>
      <c r="D682" s="1411">
        <v>1</v>
      </c>
      <c r="E682" s="976" t="str">
        <f>VLOOKUP($B682,DG!A:D,DG!$B$2,)</f>
        <v>05.8103</v>
      </c>
      <c r="F682" s="981" t="str">
        <f>VLOOKUP($B682,DG!A:D,DG!C$2,)</f>
        <v>Đóng cọc tiếp địa đất cấp 3</v>
      </c>
      <c r="G682" s="976" t="str">
        <f>VLOOKUP($B682,DG!A:D,DG!$D$2,)</f>
        <v>cọc</v>
      </c>
      <c r="H682" s="1689">
        <f t="shared" si="130"/>
        <v>0</v>
      </c>
      <c r="I682" s="1689"/>
      <c r="J682" s="1689"/>
      <c r="K682" s="1689"/>
      <c r="L682" s="1689"/>
      <c r="M682" s="1689"/>
      <c r="N682" s="1689"/>
      <c r="O682" s="1689"/>
      <c r="P682" s="1689"/>
      <c r="Q682" s="985"/>
      <c r="R682" s="985"/>
      <c r="S682" s="985"/>
      <c r="T682" s="1858">
        <f t="shared" si="108"/>
        <v>0</v>
      </c>
    </row>
    <row r="683" spans="1:20" ht="22.2" hidden="1" customHeight="1">
      <c r="A683" s="1444">
        <f>COUNTIF($C$12:C683,"x")</f>
        <v>36</v>
      </c>
      <c r="B683" s="1451" t="s">
        <v>1902</v>
      </c>
      <c r="C683" s="60" t="str">
        <f t="shared" si="109"/>
        <v xml:space="preserve"> </v>
      </c>
      <c r="D683" s="1409"/>
      <c r="E683" s="976" t="str">
        <f>VLOOKUP($B683,DG!A:D,DG!$B$2,)</f>
        <v>02.1120</v>
      </c>
      <c r="F683" s="981" t="str">
        <f>VLOOKUP($B683,DG!A:D,DG!C$2,)</f>
        <v>Bốc dỡ phụ kiện</v>
      </c>
      <c r="G683" s="976" t="str">
        <f>VLOOKUP($B683,DG!A:D,DG!$D$2,)</f>
        <v>tấn</v>
      </c>
      <c r="H683" s="1689">
        <f t="shared" si="130"/>
        <v>0</v>
      </c>
      <c r="I683" s="1689"/>
      <c r="J683" s="1689"/>
      <c r="K683" s="1689"/>
      <c r="L683" s="1689"/>
      <c r="M683" s="1689"/>
      <c r="N683" s="1689"/>
      <c r="O683" s="1689"/>
      <c r="P683" s="1689"/>
      <c r="Q683" s="985"/>
      <c r="R683" s="985"/>
      <c r="S683" s="985"/>
      <c r="T683" s="1858">
        <f t="shared" si="108"/>
        <v>0</v>
      </c>
    </row>
    <row r="684" spans="1:20" ht="22.2" hidden="1" customHeight="1">
      <c r="A684" s="1444">
        <f>COUNTIF($C$12:C684,"x")</f>
        <v>36</v>
      </c>
      <c r="B684" s="1460" t="s">
        <v>1903</v>
      </c>
      <c r="C684" s="60" t="str">
        <f t="shared" si="109"/>
        <v xml:space="preserve"> </v>
      </c>
      <c r="D684" s="1409"/>
      <c r="E684" s="976" t="str">
        <f>VLOOKUP($B684,DG!A:C,2,)</f>
        <v>02.1351</v>
      </c>
      <c r="F684" s="981" t="str">
        <f>VLOOKUP($B684,DG!A:C,3,)</f>
        <v>V/c tiếp địa vào vị trí ( cự ly &lt;=100m)</v>
      </c>
      <c r="G684" s="976" t="str">
        <f>VLOOKUP($B684,DG!A:D,4,0)</f>
        <v>tấn</v>
      </c>
      <c r="H684" s="1689">
        <f t="shared" si="130"/>
        <v>0</v>
      </c>
      <c r="I684" s="1689"/>
      <c r="J684" s="1689"/>
      <c r="K684" s="1689"/>
      <c r="L684" s="1689"/>
      <c r="M684" s="1689"/>
      <c r="N684" s="1689"/>
      <c r="O684" s="1689"/>
      <c r="P684" s="1689"/>
      <c r="Q684" s="990"/>
      <c r="R684" s="990"/>
      <c r="S684" s="990"/>
      <c r="T684" s="1858">
        <f t="shared" si="108"/>
        <v>0</v>
      </c>
    </row>
    <row r="685" spans="1:20" ht="22.2" hidden="1" customHeight="1">
      <c r="A685" s="1444">
        <f>COUNTIF($C$12:C685,"x")</f>
        <v>36</v>
      </c>
      <c r="B685" s="1448" t="s">
        <v>1984</v>
      </c>
      <c r="C685" s="59" t="str">
        <f t="shared" si="109"/>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2" hidden="1" customHeight="1">
      <c r="A686" s="1444">
        <f>COUNTIF($C$12:C686,"x")</f>
        <v>36</v>
      </c>
      <c r="B686" s="1451" t="s">
        <v>103</v>
      </c>
      <c r="C686" s="60" t="str">
        <f t="shared" si="109"/>
        <v xml:space="preserve"> </v>
      </c>
      <c r="D686" s="1410">
        <f>22*0.224</f>
        <v>4.9279999999999999</v>
      </c>
      <c r="E686" s="976"/>
      <c r="F686" s="988" t="str">
        <f>VLOOKUP($B686,DG!A:D,DG!C$2,)&amp;" (22m)"</f>
        <v>Cáp đồng trần M25mm2 (22m)</v>
      </c>
      <c r="G686" s="976" t="str">
        <f>VLOOKUP($B686,DG!A:D,DG!$D$2,)</f>
        <v>kg</v>
      </c>
      <c r="H686" s="1689">
        <f t="shared" ref="H686:N688" si="132">H$685*$D686</f>
        <v>0</v>
      </c>
      <c r="I686" s="1689">
        <f t="shared" si="132"/>
        <v>0</v>
      </c>
      <c r="J686" s="1689">
        <f t="shared" si="132"/>
        <v>0</v>
      </c>
      <c r="K686" s="1689">
        <f t="shared" si="132"/>
        <v>0</v>
      </c>
      <c r="L686" s="1689">
        <f t="shared" si="132"/>
        <v>0</v>
      </c>
      <c r="M686" s="1689">
        <f t="shared" si="132"/>
        <v>0</v>
      </c>
      <c r="N686" s="1689">
        <f t="shared" si="132"/>
        <v>0</v>
      </c>
      <c r="O686" s="1689"/>
      <c r="P686" s="1689"/>
      <c r="Q686" s="985"/>
      <c r="R686" s="985"/>
      <c r="S686" s="985"/>
      <c r="T686" s="1858">
        <f t="shared" si="108"/>
        <v>0</v>
      </c>
    </row>
    <row r="687" spans="1:20" ht="22.2" hidden="1" customHeight="1">
      <c r="A687" s="1444">
        <f>COUNTIF($C$12:C687,"x")</f>
        <v>36</v>
      </c>
      <c r="B687" s="1451" t="s">
        <v>1508</v>
      </c>
      <c r="C687" s="60" t="str">
        <f t="shared" si="109"/>
        <v xml:space="preserve"> </v>
      </c>
      <c r="D687" s="1411">
        <v>1</v>
      </c>
      <c r="E687" s="976"/>
      <c r="F687" s="988" t="str">
        <f>VLOOKUP($B687,DG!A:D,DG!C$2,)</f>
        <v>Cọc tiếp đất Þ 16- 2,4m + kẹp cọc mạ đồng</v>
      </c>
      <c r="G687" s="976" t="str">
        <f>VLOOKUP($B687,DG!A:D,DG!$D$2,)</f>
        <v>bộ</v>
      </c>
      <c r="H687" s="1689">
        <f t="shared" si="132"/>
        <v>0</v>
      </c>
      <c r="I687" s="1689">
        <f t="shared" si="132"/>
        <v>0</v>
      </c>
      <c r="J687" s="1689">
        <f t="shared" si="132"/>
        <v>0</v>
      </c>
      <c r="K687" s="1689">
        <f t="shared" si="132"/>
        <v>0</v>
      </c>
      <c r="L687" s="1689">
        <f t="shared" si="132"/>
        <v>0</v>
      </c>
      <c r="M687" s="1689">
        <f t="shared" si="132"/>
        <v>0</v>
      </c>
      <c r="N687" s="1689">
        <f t="shared" si="132"/>
        <v>0</v>
      </c>
      <c r="O687" s="1689"/>
      <c r="P687" s="1689"/>
      <c r="Q687" s="985"/>
      <c r="R687" s="985"/>
      <c r="S687" s="985"/>
      <c r="T687" s="1858">
        <f t="shared" si="108"/>
        <v>0</v>
      </c>
    </row>
    <row r="688" spans="1:20" ht="22.2" hidden="1" customHeight="1">
      <c r="A688" s="1444">
        <f>COUNTIF($C$12:C688,"x")</f>
        <v>36</v>
      </c>
      <c r="B688" s="1451" t="s">
        <v>1478</v>
      </c>
      <c r="C688" s="60" t="str">
        <f t="shared" si="109"/>
        <v xml:space="preserve"> </v>
      </c>
      <c r="D688" s="1411">
        <v>2</v>
      </c>
      <c r="E688" s="976"/>
      <c r="F688" s="988" t="str">
        <f>VLOOKUP($B688,DG!A:D,DG!C$2,)</f>
        <v>Kẹp nối đồng-nhôm</v>
      </c>
      <c r="G688" s="976" t="str">
        <f>VLOOKUP($B688,DG!A:D,DG!$D$2,)</f>
        <v>cái</v>
      </c>
      <c r="H688" s="1689">
        <f t="shared" si="132"/>
        <v>0</v>
      </c>
      <c r="I688" s="1689">
        <f t="shared" si="132"/>
        <v>0</v>
      </c>
      <c r="J688" s="1689">
        <f t="shared" si="132"/>
        <v>0</v>
      </c>
      <c r="K688" s="1689">
        <f t="shared" si="132"/>
        <v>0</v>
      </c>
      <c r="L688" s="1689">
        <f t="shared" si="132"/>
        <v>0</v>
      </c>
      <c r="M688" s="1689">
        <f t="shared" si="132"/>
        <v>0</v>
      </c>
      <c r="N688" s="1689">
        <f t="shared" si="132"/>
        <v>0</v>
      </c>
      <c r="O688" s="1689"/>
      <c r="P688" s="1689"/>
      <c r="Q688" s="985"/>
      <c r="R688" s="985"/>
      <c r="S688" s="985"/>
      <c r="T688" s="1858">
        <f t="shared" si="108"/>
        <v>0</v>
      </c>
    </row>
    <row r="689" spans="1:20" ht="22.2" hidden="1" customHeight="1">
      <c r="A689" s="1444">
        <f>COUNTIF($C$12:C689,"x")</f>
        <v>36</v>
      </c>
      <c r="B689" s="1451" t="s">
        <v>1517</v>
      </c>
      <c r="C689" s="60" t="str">
        <f t="shared" si="109"/>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3">IFERROR(HLOOKUP(B689,BangKeTru,3,0),0)</f>
        <v>0</v>
      </c>
    </row>
    <row r="690" spans="1:20" ht="22.2" hidden="1" customHeight="1">
      <c r="A690" s="1444">
        <f>COUNTIF($C$12:C690,"x")</f>
        <v>36</v>
      </c>
      <c r="B690" s="1451" t="s">
        <v>1104</v>
      </c>
      <c r="C690" s="60" t="str">
        <f t="shared" ref="C690:C753" si="134">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3"/>
        <v>0</v>
      </c>
    </row>
    <row r="691" spans="1:20" ht="22.2" hidden="1" customHeight="1">
      <c r="A691" s="1444">
        <f>COUNTIF($C$12:C691,"x")</f>
        <v>36</v>
      </c>
      <c r="B691" s="1451" t="s">
        <v>1902</v>
      </c>
      <c r="C691" s="60" t="str">
        <f t="shared" si="134"/>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3"/>
        <v>0</v>
      </c>
    </row>
    <row r="692" spans="1:20" ht="22.2" hidden="1" customHeight="1">
      <c r="A692" s="1444">
        <f>COUNTIF($C$12:C692,"x")</f>
        <v>36</v>
      </c>
      <c r="B692" s="1460" t="s">
        <v>1903</v>
      </c>
      <c r="C692" s="60" t="str">
        <f t="shared" si="134"/>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3"/>
        <v>0</v>
      </c>
    </row>
    <row r="693" spans="1:20" ht="22.2" hidden="1" customHeight="1">
      <c r="A693" s="1444">
        <f>COUNTIF($C$12:C693,"x")</f>
        <v>36</v>
      </c>
      <c r="B693" s="1448" t="s">
        <v>547</v>
      </c>
      <c r="C693" s="59" t="str">
        <f t="shared" si="134"/>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2" hidden="1" customHeight="1">
      <c r="A694" s="1444">
        <f>COUNTIF($C$12:C694,"x")</f>
        <v>36</v>
      </c>
      <c r="B694" s="1451" t="s">
        <v>1033</v>
      </c>
      <c r="C694" s="60" t="str">
        <f t="shared" si="134"/>
        <v xml:space="preserve"> </v>
      </c>
      <c r="D694" s="1410">
        <f>6*0.224</f>
        <v>1.3440000000000001</v>
      </c>
      <c r="E694" s="976"/>
      <c r="F694" s="988" t="str">
        <f>VLOOKUP($B694,DG!A:D,DG!C$2,)&amp;" (6m)"</f>
        <v>Cáp đồng trần M25mm2 (6m)</v>
      </c>
      <c r="G694" s="976" t="str">
        <f>VLOOKUP($B694,DG!A:D,DG!$D$2,)</f>
        <v>kg</v>
      </c>
      <c r="H694" s="1689">
        <f t="shared" ref="H694:N699" si="135">H$685*$D694</f>
        <v>0</v>
      </c>
      <c r="I694" s="1689">
        <f t="shared" si="135"/>
        <v>0</v>
      </c>
      <c r="J694" s="1689">
        <f t="shared" si="135"/>
        <v>0</v>
      </c>
      <c r="K694" s="1689">
        <f t="shared" si="135"/>
        <v>0</v>
      </c>
      <c r="L694" s="1689">
        <f t="shared" si="135"/>
        <v>0</v>
      </c>
      <c r="M694" s="1689">
        <f t="shared" si="135"/>
        <v>0</v>
      </c>
      <c r="N694" s="1689">
        <f t="shared" si="135"/>
        <v>0</v>
      </c>
      <c r="O694" s="1689"/>
      <c r="P694" s="1689"/>
      <c r="Q694" s="985"/>
      <c r="R694" s="985"/>
      <c r="S694" s="985"/>
      <c r="T694" s="1858">
        <f t="shared" si="133"/>
        <v>0</v>
      </c>
    </row>
    <row r="695" spans="1:20" ht="22.2" hidden="1" customHeight="1">
      <c r="A695" s="1444">
        <f>COUNTIF($C$12:C695,"x")</f>
        <v>36</v>
      </c>
      <c r="B695" s="1451" t="s">
        <v>794</v>
      </c>
      <c r="C695" s="60" t="str">
        <f t="shared" si="134"/>
        <v xml:space="preserve"> </v>
      </c>
      <c r="D695" s="1421">
        <f>0.3*1*0.3</f>
        <v>0.09</v>
      </c>
      <c r="E695" s="976"/>
      <c r="F695" s="981" t="str">
        <f>VLOOKUP($B695,DG!A:D,DG!C$2,)&amp;": 0,3x0,3x1"</f>
        <v>Đào rãnh tiếp địa đất cấp 3: 0,3x0,3x1</v>
      </c>
      <c r="G695" s="976" t="str">
        <f>VLOOKUP($B695,DG!A:D,DG!$D$2,)</f>
        <v>m3</v>
      </c>
      <c r="H695" s="1689">
        <f t="shared" si="135"/>
        <v>0</v>
      </c>
      <c r="I695" s="1689">
        <f t="shared" si="135"/>
        <v>0</v>
      </c>
      <c r="J695" s="1689">
        <f t="shared" si="135"/>
        <v>0</v>
      </c>
      <c r="K695" s="1689">
        <f t="shared" si="135"/>
        <v>0</v>
      </c>
      <c r="L695" s="1689">
        <f t="shared" si="135"/>
        <v>0</v>
      </c>
      <c r="M695" s="1689">
        <f t="shared" si="135"/>
        <v>0</v>
      </c>
      <c r="N695" s="1689">
        <f t="shared" si="135"/>
        <v>0</v>
      </c>
      <c r="O695" s="1689"/>
      <c r="P695" s="1689"/>
      <c r="Q695" s="985"/>
      <c r="R695" s="985"/>
      <c r="S695" s="985"/>
      <c r="T695" s="1858">
        <f t="shared" si="133"/>
        <v>0</v>
      </c>
    </row>
    <row r="696" spans="1:20" ht="22.2" hidden="1" customHeight="1">
      <c r="A696" s="1444">
        <f>COUNTIF($C$12:C696,"x")</f>
        <v>36</v>
      </c>
      <c r="B696" s="1451" t="s">
        <v>798</v>
      </c>
      <c r="C696" s="60" t="str">
        <f t="shared" si="134"/>
        <v xml:space="preserve"> </v>
      </c>
      <c r="D696" s="1421">
        <f>D695</f>
        <v>0.09</v>
      </c>
      <c r="E696" s="976"/>
      <c r="F696" s="981" t="str">
        <f>VLOOKUP($B696,DG!A:D,DG!C$2,)&amp;": 0,3x0,3x1"</f>
        <v>Đắp đất rãnh tiếp độ chặt k=0,85: 0,3x0,3x1</v>
      </c>
      <c r="G696" s="976" t="str">
        <f>VLOOKUP($B696,DG!A:D,DG!$D$2,)</f>
        <v>m3</v>
      </c>
      <c r="H696" s="1689">
        <f t="shared" si="135"/>
        <v>0</v>
      </c>
      <c r="I696" s="1689">
        <f t="shared" si="135"/>
        <v>0</v>
      </c>
      <c r="J696" s="1689">
        <f t="shared" si="135"/>
        <v>0</v>
      </c>
      <c r="K696" s="1689">
        <f t="shared" si="135"/>
        <v>0</v>
      </c>
      <c r="L696" s="1689">
        <f t="shared" si="135"/>
        <v>0</v>
      </c>
      <c r="M696" s="1689">
        <f t="shared" si="135"/>
        <v>0</v>
      </c>
      <c r="N696" s="1689">
        <f t="shared" si="135"/>
        <v>0</v>
      </c>
      <c r="O696" s="1689"/>
      <c r="P696" s="1689"/>
      <c r="Q696" s="985"/>
      <c r="R696" s="985"/>
      <c r="S696" s="985"/>
      <c r="T696" s="1858">
        <f t="shared" si="133"/>
        <v>0</v>
      </c>
    </row>
    <row r="697" spans="1:20" ht="22.2" hidden="1" customHeight="1">
      <c r="A697" s="1444">
        <f>COUNTIF($C$12:C697,"x")</f>
        <v>36</v>
      </c>
      <c r="B697" s="1451" t="s">
        <v>104</v>
      </c>
      <c r="C697" s="60" t="str">
        <f t="shared" si="134"/>
        <v xml:space="preserve"> </v>
      </c>
      <c r="D697" s="1411">
        <v>1</v>
      </c>
      <c r="E697" s="976"/>
      <c r="F697" s="988" t="str">
        <f>VLOOKUP($B697,DG!A:D,DG!C$2,)</f>
        <v>Đầu cosse ép Cu 25mm2</v>
      </c>
      <c r="G697" s="976" t="str">
        <f>VLOOKUP($B697,DG!A:D,DG!$D$2,)</f>
        <v>cái</v>
      </c>
      <c r="H697" s="1689">
        <f t="shared" si="135"/>
        <v>0</v>
      </c>
      <c r="I697" s="1689">
        <f t="shared" si="135"/>
        <v>0</v>
      </c>
      <c r="J697" s="1689">
        <f t="shared" si="135"/>
        <v>0</v>
      </c>
      <c r="K697" s="1689">
        <f t="shared" si="135"/>
        <v>0</v>
      </c>
      <c r="L697" s="1689">
        <f t="shared" si="135"/>
        <v>0</v>
      </c>
      <c r="M697" s="1689">
        <f t="shared" si="135"/>
        <v>0</v>
      </c>
      <c r="N697" s="1689">
        <f t="shared" si="135"/>
        <v>0</v>
      </c>
      <c r="O697" s="1689"/>
      <c r="P697" s="1689"/>
      <c r="Q697" s="985"/>
      <c r="R697" s="985"/>
      <c r="S697" s="985"/>
      <c r="T697" s="1858">
        <f t="shared" si="133"/>
        <v>0</v>
      </c>
    </row>
    <row r="698" spans="1:20" ht="22.2" hidden="1" customHeight="1">
      <c r="A698" s="1444">
        <f>COUNTIF($C$12:C698,"x")</f>
        <v>36</v>
      </c>
      <c r="B698" s="1451" t="s">
        <v>138</v>
      </c>
      <c r="C698" s="60" t="str">
        <f t="shared" si="134"/>
        <v xml:space="preserve"> </v>
      </c>
      <c r="D698" s="1411">
        <v>1</v>
      </c>
      <c r="E698" s="976"/>
      <c r="F698" s="988" t="str">
        <f>VLOOKUP($B698,DG!A:D,DG!C$2,)</f>
        <v>Boulon 12x40+ 2 long đền vuông D14-50x50x3/Zn</v>
      </c>
      <c r="G698" s="976" t="str">
        <f>VLOOKUP($B698,DG!A:D,DG!$D$2,)</f>
        <v>bộ</v>
      </c>
      <c r="H698" s="1689">
        <f t="shared" si="135"/>
        <v>0</v>
      </c>
      <c r="I698" s="1689">
        <f t="shared" si="135"/>
        <v>0</v>
      </c>
      <c r="J698" s="1689">
        <f t="shared" si="135"/>
        <v>0</v>
      </c>
      <c r="K698" s="1689">
        <f t="shared" si="135"/>
        <v>0</v>
      </c>
      <c r="L698" s="1689">
        <f t="shared" si="135"/>
        <v>0</v>
      </c>
      <c r="M698" s="1689">
        <f t="shared" si="135"/>
        <v>0</v>
      </c>
      <c r="N698" s="1689">
        <f t="shared" si="135"/>
        <v>0</v>
      </c>
      <c r="O698" s="1689"/>
      <c r="P698" s="1689"/>
      <c r="Q698" s="985"/>
      <c r="R698" s="985"/>
      <c r="S698" s="985"/>
      <c r="T698" s="1858">
        <f t="shared" si="133"/>
        <v>0</v>
      </c>
    </row>
    <row r="699" spans="1:20" ht="22.2" hidden="1" customHeight="1">
      <c r="A699" s="1444">
        <f>COUNTIF($C$12:C699,"x")</f>
        <v>36</v>
      </c>
      <c r="B699" s="1451" t="s">
        <v>576</v>
      </c>
      <c r="C699" s="60" t="str">
        <f t="shared" si="134"/>
        <v xml:space="preserve"> </v>
      </c>
      <c r="D699" s="1411">
        <v>3</v>
      </c>
      <c r="E699" s="976"/>
      <c r="F699" s="988" t="str">
        <f>VLOOKUP($B699,DG!A:D,DG!C$2,)</f>
        <v xml:space="preserve">Ống PVC D21x1,6mm </v>
      </c>
      <c r="G699" s="976" t="str">
        <f>VLOOKUP($B699,DG!A:D,DG!$D$2,)</f>
        <v>m</v>
      </c>
      <c r="H699" s="1689">
        <f t="shared" si="135"/>
        <v>0</v>
      </c>
      <c r="I699" s="1689">
        <f t="shared" si="135"/>
        <v>0</v>
      </c>
      <c r="J699" s="1689">
        <f t="shared" si="135"/>
        <v>0</v>
      </c>
      <c r="K699" s="1689">
        <f t="shared" si="135"/>
        <v>0</v>
      </c>
      <c r="L699" s="1689">
        <f t="shared" si="135"/>
        <v>0</v>
      </c>
      <c r="M699" s="1689">
        <f t="shared" si="135"/>
        <v>0</v>
      </c>
      <c r="N699" s="1689">
        <f t="shared" si="135"/>
        <v>0</v>
      </c>
      <c r="O699" s="1689"/>
      <c r="P699" s="1689"/>
      <c r="Q699" s="985"/>
      <c r="R699" s="985"/>
      <c r="S699" s="985"/>
      <c r="T699" s="1858">
        <f t="shared" si="133"/>
        <v>0</v>
      </c>
    </row>
    <row r="700" spans="1:20" ht="22.2" hidden="1" customHeight="1">
      <c r="A700" s="1444">
        <f>COUNTIF($C$12:C700,"x")</f>
        <v>36</v>
      </c>
      <c r="B700" s="1451" t="s">
        <v>1517</v>
      </c>
      <c r="C700" s="60" t="str">
        <f t="shared" si="134"/>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3"/>
        <v>0</v>
      </c>
    </row>
    <row r="701" spans="1:20" ht="22.2" hidden="1" customHeight="1">
      <c r="A701" s="1444">
        <f>COUNTIF($C$12:C701,"x")</f>
        <v>36</v>
      </c>
      <c r="B701" s="1451" t="s">
        <v>1115</v>
      </c>
      <c r="C701" s="60" t="str">
        <f t="shared" si="134"/>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3"/>
        <v>0</v>
      </c>
    </row>
    <row r="702" spans="1:20" ht="22.2" hidden="1" customHeight="1">
      <c r="A702" s="1444">
        <f>COUNTIF($C$12:C702,"x")</f>
        <v>36</v>
      </c>
      <c r="B702" s="1448" t="s">
        <v>1054</v>
      </c>
      <c r="C702" s="59" t="str">
        <f t="shared" si="134"/>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2" hidden="1" customHeight="1">
      <c r="A703" s="1444">
        <f>COUNTIF($C$12:C703,"x")</f>
        <v>36</v>
      </c>
      <c r="B703" s="1451" t="s">
        <v>103</v>
      </c>
      <c r="C703" s="60" t="str">
        <f t="shared" si="134"/>
        <v xml:space="preserve"> </v>
      </c>
      <c r="D703" s="1410">
        <f>53*0.224</f>
        <v>11.872</v>
      </c>
      <c r="E703" s="976"/>
      <c r="F703" s="988" t="str">
        <f>VLOOKUP($B703,DG!A:D,DG!C$2,)&amp;" (53m)"</f>
        <v>Cáp đồng trần M25mm2 (53m)</v>
      </c>
      <c r="G703" s="976" t="str">
        <f>VLOOKUP($B703,DG!A:D,DG!$D$2,)</f>
        <v>kg</v>
      </c>
      <c r="H703" s="1689">
        <f t="shared" ref="H703:N710" si="136">H$685*$D703</f>
        <v>0</v>
      </c>
      <c r="I703" s="1689">
        <f t="shared" si="136"/>
        <v>0</v>
      </c>
      <c r="J703" s="1689">
        <f t="shared" si="136"/>
        <v>0</v>
      </c>
      <c r="K703" s="1689">
        <f t="shared" si="136"/>
        <v>0</v>
      </c>
      <c r="L703" s="1689">
        <f t="shared" si="136"/>
        <v>0</v>
      </c>
      <c r="M703" s="1689">
        <f t="shared" si="136"/>
        <v>0</v>
      </c>
      <c r="N703" s="1689">
        <f t="shared" si="136"/>
        <v>0</v>
      </c>
      <c r="O703" s="1689"/>
      <c r="P703" s="1689"/>
      <c r="Q703" s="985"/>
      <c r="R703" s="985"/>
      <c r="S703" s="985"/>
      <c r="T703" s="1858">
        <f t="shared" si="133"/>
        <v>0</v>
      </c>
    </row>
    <row r="704" spans="1:20" ht="22.2" hidden="1" customHeight="1">
      <c r="A704" s="1444">
        <f>COUNTIF($C$12:C704,"x")</f>
        <v>36</v>
      </c>
      <c r="B704" s="1451" t="s">
        <v>1508</v>
      </c>
      <c r="C704" s="60" t="str">
        <f t="shared" si="134"/>
        <v xml:space="preserve"> </v>
      </c>
      <c r="D704" s="1411">
        <v>9</v>
      </c>
      <c r="E704" s="976"/>
      <c r="F704" s="988" t="str">
        <f>VLOOKUP($B704,DG!A:D,DG!C$2,)</f>
        <v>Cọc tiếp đất Þ 16- 2,4m + kẹp cọc mạ đồng</v>
      </c>
      <c r="G704" s="976" t="str">
        <f>VLOOKUP($B704,DG!A:D,DG!$D$2,)</f>
        <v>bộ</v>
      </c>
      <c r="H704" s="1689">
        <f t="shared" si="136"/>
        <v>0</v>
      </c>
      <c r="I704" s="1689">
        <f t="shared" si="136"/>
        <v>0</v>
      </c>
      <c r="J704" s="1689">
        <f t="shared" si="136"/>
        <v>0</v>
      </c>
      <c r="K704" s="1689">
        <f t="shared" si="136"/>
        <v>0</v>
      </c>
      <c r="L704" s="1689">
        <f t="shared" si="136"/>
        <v>0</v>
      </c>
      <c r="M704" s="1689">
        <f t="shared" si="136"/>
        <v>0</v>
      </c>
      <c r="N704" s="1689">
        <f t="shared" si="136"/>
        <v>0</v>
      </c>
      <c r="O704" s="1689"/>
      <c r="P704" s="1689"/>
      <c r="Q704" s="985"/>
      <c r="R704" s="985"/>
      <c r="S704" s="985"/>
      <c r="T704" s="1858">
        <f t="shared" si="133"/>
        <v>0</v>
      </c>
    </row>
    <row r="705" spans="1:20" ht="22.2" hidden="1" customHeight="1">
      <c r="A705" s="1444">
        <f>COUNTIF($C$12:C705,"x")</f>
        <v>36</v>
      </c>
      <c r="B705" s="1451" t="s">
        <v>905</v>
      </c>
      <c r="C705" s="60" t="str">
        <f t="shared" si="134"/>
        <v xml:space="preserve"> </v>
      </c>
      <c r="D705" s="1411">
        <v>2</v>
      </c>
      <c r="E705" s="976"/>
      <c r="F705" s="988" t="str">
        <f>VLOOKUP($B705,DG!A:D,DG!C$2,)</f>
        <v>Kẹp ép WR cỡ dây 50mm2</v>
      </c>
      <c r="G705" s="976" t="str">
        <f>VLOOKUP($B705,DG!A:D,DG!$D$2,)</f>
        <v>cái</v>
      </c>
      <c r="H705" s="1689">
        <f t="shared" si="136"/>
        <v>0</v>
      </c>
      <c r="I705" s="1689">
        <f t="shared" si="136"/>
        <v>0</v>
      </c>
      <c r="J705" s="1689">
        <f t="shared" si="136"/>
        <v>0</v>
      </c>
      <c r="K705" s="1689">
        <f t="shared" si="136"/>
        <v>0</v>
      </c>
      <c r="L705" s="1689">
        <f t="shared" si="136"/>
        <v>0</v>
      </c>
      <c r="M705" s="1689">
        <f t="shared" si="136"/>
        <v>0</v>
      </c>
      <c r="N705" s="1689">
        <f t="shared" si="136"/>
        <v>0</v>
      </c>
      <c r="O705" s="1689"/>
      <c r="P705" s="1689"/>
      <c r="Q705" s="985"/>
      <c r="R705" s="985"/>
      <c r="S705" s="985"/>
      <c r="T705" s="1858">
        <f t="shared" si="133"/>
        <v>0</v>
      </c>
    </row>
    <row r="706" spans="1:20" ht="22.2" hidden="1" customHeight="1">
      <c r="A706" s="1444">
        <f>COUNTIF($C$12:C706,"x")</f>
        <v>36</v>
      </c>
      <c r="B706" s="1451" t="s">
        <v>1114</v>
      </c>
      <c r="C706" s="60" t="str">
        <f t="shared" si="134"/>
        <v xml:space="preserve"> </v>
      </c>
      <c r="D706" s="1411">
        <v>11</v>
      </c>
      <c r="E706" s="976"/>
      <c r="F706" s="988" t="str">
        <f>VLOOKUP($B706,DG!A:D,DG!C$2,)</f>
        <v>Kẹp ép cỡ dây 25mm2</v>
      </c>
      <c r="G706" s="976" t="str">
        <f>VLOOKUP($B706,DG!A:D,DG!$D$2,)</f>
        <v>cái</v>
      </c>
      <c r="H706" s="1689">
        <f t="shared" si="136"/>
        <v>0</v>
      </c>
      <c r="I706" s="1689">
        <f t="shared" si="136"/>
        <v>0</v>
      </c>
      <c r="J706" s="1689">
        <f t="shared" si="136"/>
        <v>0</v>
      </c>
      <c r="K706" s="1689">
        <f t="shared" si="136"/>
        <v>0</v>
      </c>
      <c r="L706" s="1689">
        <f t="shared" si="136"/>
        <v>0</v>
      </c>
      <c r="M706" s="1689">
        <f t="shared" si="136"/>
        <v>0</v>
      </c>
      <c r="N706" s="1689">
        <f t="shared" si="136"/>
        <v>0</v>
      </c>
      <c r="O706" s="1689"/>
      <c r="P706" s="1689"/>
      <c r="Q706" s="985"/>
      <c r="R706" s="985"/>
      <c r="S706" s="985"/>
      <c r="T706" s="1858">
        <f t="shared" si="133"/>
        <v>0</v>
      </c>
    </row>
    <row r="707" spans="1:20" ht="22.2" hidden="1" customHeight="1">
      <c r="A707" s="1444">
        <f>COUNTIF($C$12:C707,"x")</f>
        <v>36</v>
      </c>
      <c r="B707" s="1451" t="s">
        <v>1490</v>
      </c>
      <c r="C707" s="60" t="str">
        <f t="shared" si="134"/>
        <v xml:space="preserve"> </v>
      </c>
      <c r="D707" s="1411">
        <v>6</v>
      </c>
      <c r="E707" s="976"/>
      <c r="F707" s="988" t="str">
        <f>VLOOKUP($B707,DG!A:D,DG!C$2,)</f>
        <v xml:space="preserve">Ống PVC D21x1,6mm </v>
      </c>
      <c r="G707" s="976" t="str">
        <f>VLOOKUP($B707,DG!A:D,DG!$D$2,)</f>
        <v>m</v>
      </c>
      <c r="H707" s="1689">
        <f t="shared" si="136"/>
        <v>0</v>
      </c>
      <c r="I707" s="1689">
        <f t="shared" si="136"/>
        <v>0</v>
      </c>
      <c r="J707" s="1689">
        <f t="shared" si="136"/>
        <v>0</v>
      </c>
      <c r="K707" s="1689">
        <f t="shared" si="136"/>
        <v>0</v>
      </c>
      <c r="L707" s="1689">
        <f t="shared" si="136"/>
        <v>0</v>
      </c>
      <c r="M707" s="1689">
        <f t="shared" si="136"/>
        <v>0</v>
      </c>
      <c r="N707" s="1689">
        <f t="shared" si="136"/>
        <v>0</v>
      </c>
      <c r="O707" s="1689"/>
      <c r="P707" s="1689"/>
      <c r="Q707" s="985"/>
      <c r="R707" s="985"/>
      <c r="S707" s="985"/>
      <c r="T707" s="1858">
        <f t="shared" si="133"/>
        <v>0</v>
      </c>
    </row>
    <row r="708" spans="1:20" ht="22.2" hidden="1" customHeight="1">
      <c r="A708" s="1444">
        <f>COUNTIF($C$12:C708,"x")</f>
        <v>36</v>
      </c>
      <c r="B708" s="1451" t="s">
        <v>525</v>
      </c>
      <c r="C708" s="60" t="str">
        <f t="shared" si="134"/>
        <v xml:space="preserve"> </v>
      </c>
      <c r="D708" s="1411">
        <v>3</v>
      </c>
      <c r="E708" s="976"/>
      <c r="F708" s="988" t="str">
        <f>VLOOKUP($B708,DG!A:D,DG!C$2,)</f>
        <v>Cổ dê kẹp ống PVC  21</v>
      </c>
      <c r="G708" s="976" t="str">
        <f>VLOOKUP($B708,DG!A:D,DG!$D$2,)</f>
        <v>bộ</v>
      </c>
      <c r="H708" s="1689">
        <f t="shared" si="136"/>
        <v>0</v>
      </c>
      <c r="I708" s="1689">
        <f t="shared" si="136"/>
        <v>0</v>
      </c>
      <c r="J708" s="1689">
        <f t="shared" si="136"/>
        <v>0</v>
      </c>
      <c r="K708" s="1689">
        <f t="shared" si="136"/>
        <v>0</v>
      </c>
      <c r="L708" s="1689">
        <f t="shared" si="136"/>
        <v>0</v>
      </c>
      <c r="M708" s="1689">
        <f t="shared" si="136"/>
        <v>0</v>
      </c>
      <c r="N708" s="1689">
        <f t="shared" si="136"/>
        <v>0</v>
      </c>
      <c r="O708" s="1689"/>
      <c r="P708" s="1689"/>
      <c r="Q708" s="985"/>
      <c r="R708" s="985"/>
      <c r="S708" s="985"/>
      <c r="T708" s="1858">
        <f t="shared" si="133"/>
        <v>0</v>
      </c>
    </row>
    <row r="709" spans="1:20" ht="22.2" hidden="1" customHeight="1">
      <c r="A709" s="1444">
        <f>COUNTIF($C$12:C709,"x")</f>
        <v>36</v>
      </c>
      <c r="B709" s="1451" t="s">
        <v>1052</v>
      </c>
      <c r="C709" s="60" t="str">
        <f t="shared" si="134"/>
        <v xml:space="preserve"> </v>
      </c>
      <c r="D709" s="1411">
        <v>2</v>
      </c>
      <c r="E709" s="976"/>
      <c r="F709" s="988" t="str">
        <f>VLOOKUP($B709,DG!A:D,DG!C$2,)</f>
        <v>Đầu cosse ép Cu 25mm2</v>
      </c>
      <c r="G709" s="976" t="str">
        <f>VLOOKUP($B709,DG!A:D,DG!$D$2,)</f>
        <v>cái</v>
      </c>
      <c r="H709" s="1689">
        <f t="shared" si="136"/>
        <v>0</v>
      </c>
      <c r="I709" s="1689">
        <f t="shared" si="136"/>
        <v>0</v>
      </c>
      <c r="J709" s="1689">
        <f t="shared" si="136"/>
        <v>0</v>
      </c>
      <c r="K709" s="1689">
        <f t="shared" si="136"/>
        <v>0</v>
      </c>
      <c r="L709" s="1689">
        <f t="shared" si="136"/>
        <v>0</v>
      </c>
      <c r="M709" s="1689">
        <f t="shared" si="136"/>
        <v>0</v>
      </c>
      <c r="N709" s="1689">
        <f t="shared" si="136"/>
        <v>0</v>
      </c>
      <c r="O709" s="1689"/>
      <c r="P709" s="1689"/>
      <c r="Q709" s="985"/>
      <c r="R709" s="985"/>
      <c r="S709" s="985"/>
      <c r="T709" s="1858">
        <f t="shared" si="133"/>
        <v>0</v>
      </c>
    </row>
    <row r="710" spans="1:20" ht="22.2" hidden="1" customHeight="1">
      <c r="A710" s="1444">
        <f>COUNTIF($C$12:C710,"x")</f>
        <v>36</v>
      </c>
      <c r="B710" s="1451" t="s">
        <v>2019</v>
      </c>
      <c r="C710" s="60" t="str">
        <f t="shared" si="134"/>
        <v xml:space="preserve"> </v>
      </c>
      <c r="D710" s="1411">
        <v>1</v>
      </c>
      <c r="E710" s="976"/>
      <c r="F710" s="988" t="str">
        <f>VLOOKUP($B710,DG!A:D,DG!C$2,)</f>
        <v>Boulon 12x40+ 2 long đền vuông D14-50x50x3/Zn</v>
      </c>
      <c r="G710" s="976" t="str">
        <f>VLOOKUP($B710,DG!A:D,DG!$D$2,)</f>
        <v>bộ</v>
      </c>
      <c r="H710" s="1689">
        <f t="shared" si="136"/>
        <v>0</v>
      </c>
      <c r="I710" s="1689">
        <f t="shared" si="136"/>
        <v>0</v>
      </c>
      <c r="J710" s="1689">
        <f t="shared" si="136"/>
        <v>0</v>
      </c>
      <c r="K710" s="1689">
        <f t="shared" si="136"/>
        <v>0</v>
      </c>
      <c r="L710" s="1689">
        <f t="shared" si="136"/>
        <v>0</v>
      </c>
      <c r="M710" s="1689">
        <f t="shared" si="136"/>
        <v>0</v>
      </c>
      <c r="N710" s="1689">
        <f t="shared" si="136"/>
        <v>0</v>
      </c>
      <c r="O710" s="1689"/>
      <c r="P710" s="1689"/>
      <c r="Q710" s="985"/>
      <c r="R710" s="985"/>
      <c r="S710" s="985"/>
      <c r="T710" s="1858">
        <f t="shared" si="133"/>
        <v>0</v>
      </c>
    </row>
    <row r="711" spans="1:20" ht="22.2" hidden="1" customHeight="1">
      <c r="A711" s="1444">
        <f>COUNTIF($C$12:C711,"x")</f>
        <v>36</v>
      </c>
      <c r="B711" s="1451" t="s">
        <v>1517</v>
      </c>
      <c r="C711" s="60" t="str">
        <f t="shared" si="134"/>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3"/>
        <v>0</v>
      </c>
    </row>
    <row r="712" spans="1:20" ht="22.2" hidden="1" customHeight="1">
      <c r="A712" s="1444">
        <f>COUNTIF($C$12:C712,"x")</f>
        <v>36</v>
      </c>
      <c r="B712" s="1451" t="s">
        <v>1104</v>
      </c>
      <c r="C712" s="60" t="str">
        <f t="shared" si="134"/>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3"/>
        <v>0</v>
      </c>
    </row>
    <row r="713" spans="1:20" ht="22.2" hidden="1" customHeight="1">
      <c r="A713" s="1444">
        <f>COUNTIF($C$12:C713,"x")</f>
        <v>36</v>
      </c>
      <c r="B713" s="1451" t="s">
        <v>1055</v>
      </c>
      <c r="C713" s="60" t="str">
        <f t="shared" si="134"/>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3"/>
        <v>0</v>
      </c>
    </row>
    <row r="714" spans="1:20" ht="22.2" hidden="1" customHeight="1">
      <c r="A714" s="1444">
        <f>COUNTIF($C$12:C714,"x")</f>
        <v>36</v>
      </c>
      <c r="B714" s="1451" t="s">
        <v>1056</v>
      </c>
      <c r="C714" s="60" t="str">
        <f t="shared" si="134"/>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3"/>
        <v>0</v>
      </c>
    </row>
    <row r="715" spans="1:20" ht="22.2" hidden="1" customHeight="1">
      <c r="A715" s="1444">
        <f>COUNTIF($C$12:C715,"x")</f>
        <v>36</v>
      </c>
      <c r="B715" s="1451" t="s">
        <v>1902</v>
      </c>
      <c r="C715" s="60" t="str">
        <f t="shared" si="134"/>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3"/>
        <v>0</v>
      </c>
    </row>
    <row r="716" spans="1:20" ht="22.2" hidden="1" customHeight="1">
      <c r="A716" s="1444">
        <f>COUNTIF($C$12:C716,"x")</f>
        <v>36</v>
      </c>
      <c r="B716" s="1460" t="s">
        <v>1903</v>
      </c>
      <c r="C716" s="60" t="str">
        <f t="shared" si="134"/>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3"/>
        <v>0</v>
      </c>
    </row>
    <row r="717" spans="1:20" ht="22.2" hidden="1" customHeight="1">
      <c r="A717" s="1444">
        <f>COUNTIF($C$12:C717,"x")</f>
        <v>36</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2" hidden="1" customHeight="1">
      <c r="A718" s="1444">
        <f>COUNTIF($C$12:C718,"x")</f>
        <v>36</v>
      </c>
      <c r="B718" s="1453" t="s">
        <v>954</v>
      </c>
      <c r="C718" s="966" t="str">
        <f t="shared" si="134"/>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2" hidden="1" customHeight="1">
      <c r="A719" s="1444">
        <f>COUNTIF($C$12:C719,"x")</f>
        <v>36</v>
      </c>
      <c r="B719" s="1451" t="s">
        <v>441</v>
      </c>
      <c r="C719" s="966" t="str">
        <f t="shared" si="134"/>
        <v xml:space="preserve"> </v>
      </c>
      <c r="D719" s="1411">
        <v>1</v>
      </c>
      <c r="E719" s="976"/>
      <c r="F719" s="988" t="str">
        <f>VLOOKUP($B719,DG!A:D,DG!$C$2,)</f>
        <v>Trụ thép tròn cao 6 mét</v>
      </c>
      <c r="G719" s="976" t="str">
        <f>VLOOKUP($B719,DG!A:D,DG!$D$2,)</f>
        <v>trụ</v>
      </c>
      <c r="H719" s="1689">
        <f t="shared" ref="H719:N720" si="137">H$725*$D719</f>
        <v>0</v>
      </c>
      <c r="I719" s="1689">
        <f t="shared" si="137"/>
        <v>0</v>
      </c>
      <c r="J719" s="1689">
        <f t="shared" si="137"/>
        <v>0</v>
      </c>
      <c r="K719" s="1689">
        <f t="shared" si="137"/>
        <v>0</v>
      </c>
      <c r="L719" s="1689">
        <f t="shared" si="137"/>
        <v>0</v>
      </c>
      <c r="M719" s="1689">
        <f t="shared" si="137"/>
        <v>0</v>
      </c>
      <c r="N719" s="1689">
        <f t="shared" si="137"/>
        <v>0</v>
      </c>
      <c r="O719" s="1689"/>
      <c r="P719" s="1689"/>
      <c r="Q719" s="985"/>
      <c r="R719" s="985"/>
      <c r="S719" s="985"/>
      <c r="T719" s="1858">
        <f t="shared" si="133"/>
        <v>0</v>
      </c>
    </row>
    <row r="720" spans="1:20" ht="22.2" hidden="1" customHeight="1">
      <c r="A720" s="1444">
        <f>COUNTIF($C$12:C720,"x")</f>
        <v>36</v>
      </c>
      <c r="B720" s="1451" t="s">
        <v>1814</v>
      </c>
      <c r="C720" s="966" t="str">
        <f t="shared" si="134"/>
        <v xml:space="preserve"> </v>
      </c>
      <c r="D720" s="1411">
        <v>1</v>
      </c>
      <c r="E720" s="976"/>
      <c r="F720" s="988" t="str">
        <f>VLOOKUP($B720,DG!A:D,DG!$C$2,)</f>
        <v>Vật liệu dựng trụ</v>
      </c>
      <c r="G720" s="976" t="str">
        <f>VLOOKUP($B720,DG!A:D,DG!$D$2,)</f>
        <v>trụ</v>
      </c>
      <c r="H720" s="1689">
        <f t="shared" si="137"/>
        <v>0</v>
      </c>
      <c r="I720" s="1689">
        <f t="shared" si="137"/>
        <v>0</v>
      </c>
      <c r="J720" s="1689">
        <f t="shared" si="137"/>
        <v>0</v>
      </c>
      <c r="K720" s="1689">
        <f t="shared" si="137"/>
        <v>0</v>
      </c>
      <c r="L720" s="1689">
        <f t="shared" si="137"/>
        <v>0</v>
      </c>
      <c r="M720" s="1689">
        <f t="shared" si="137"/>
        <v>0</v>
      </c>
      <c r="N720" s="1689">
        <f t="shared" si="137"/>
        <v>0</v>
      </c>
      <c r="O720" s="1689"/>
      <c r="P720" s="1689"/>
      <c r="Q720" s="985"/>
      <c r="R720" s="985"/>
      <c r="S720" s="985"/>
      <c r="T720" s="1858">
        <f t="shared" si="133"/>
        <v>0</v>
      </c>
    </row>
    <row r="721" spans="1:20" ht="22.2" hidden="1" customHeight="1">
      <c r="A721" s="1444">
        <f>COUNTIF($C$12:C721,"x")</f>
        <v>36</v>
      </c>
      <c r="B721" s="1451" t="s">
        <v>1436</v>
      </c>
      <c r="C721" s="966" t="str">
        <f t="shared" si="134"/>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3"/>
        <v>0</v>
      </c>
    </row>
    <row r="722" spans="1:20" ht="22.2" hidden="1" customHeight="1">
      <c r="A722" s="1444">
        <f>COUNTIF($C$12:C722,"x")</f>
        <v>36</v>
      </c>
      <c r="B722" s="1451" t="s">
        <v>1198</v>
      </c>
      <c r="C722" s="966" t="str">
        <f t="shared" si="134"/>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3"/>
        <v>0</v>
      </c>
    </row>
    <row r="723" spans="1:20" ht="22.2" hidden="1" customHeight="1">
      <c r="A723" s="1444">
        <f>COUNTIF($C$12:C723,"x")</f>
        <v>36</v>
      </c>
      <c r="B723" s="1460" t="s">
        <v>1199</v>
      </c>
      <c r="C723" s="966" t="str">
        <f t="shared" si="134"/>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3"/>
        <v>0</v>
      </c>
    </row>
    <row r="724" spans="1:20" ht="22.2" hidden="1" customHeight="1">
      <c r="A724" s="1444">
        <f>COUNTIF($C$12:C724,"x")</f>
        <v>36</v>
      </c>
      <c r="B724" s="1460" t="s">
        <v>635</v>
      </c>
      <c r="C724" s="966" t="str">
        <f t="shared" si="134"/>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3"/>
        <v>0</v>
      </c>
    </row>
    <row r="725" spans="1:20" ht="22.2" hidden="1" customHeight="1">
      <c r="A725" s="1444">
        <f>COUNTIF($C$12:C725,"x")</f>
        <v>36</v>
      </c>
      <c r="B725" s="1453" t="s">
        <v>233</v>
      </c>
      <c r="C725" s="966" t="str">
        <f t="shared" si="134"/>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2" hidden="1" customHeight="1">
      <c r="A726" s="1444">
        <f>COUNTIF($C$12:C726,"x")</f>
        <v>36</v>
      </c>
      <c r="B726" s="1451" t="s">
        <v>1533</v>
      </c>
      <c r="C726" s="966" t="str">
        <f t="shared" si="134"/>
        <v xml:space="preserve"> </v>
      </c>
      <c r="D726" s="1411">
        <v>1</v>
      </c>
      <c r="E726" s="976"/>
      <c r="F726" s="988" t="str">
        <f>VLOOKUP($B726,DG!A:D,DG!$C$2,)</f>
        <v>Trụ BTLT 7,5m F200 dự ứng lực</v>
      </c>
      <c r="G726" s="976" t="str">
        <f>VLOOKUP($B726,DG!A:D,DG!$D$2,)</f>
        <v>trụ</v>
      </c>
      <c r="H726" s="1689">
        <f t="shared" ref="H726:O727" si="138">H$725*$D726</f>
        <v>0</v>
      </c>
      <c r="I726" s="1689">
        <f t="shared" si="138"/>
        <v>0</v>
      </c>
      <c r="J726" s="1689">
        <f t="shared" si="138"/>
        <v>0</v>
      </c>
      <c r="K726" s="1689">
        <f t="shared" si="138"/>
        <v>0</v>
      </c>
      <c r="L726" s="1689">
        <f t="shared" si="138"/>
        <v>0</v>
      </c>
      <c r="M726" s="1689">
        <f t="shared" si="138"/>
        <v>0</v>
      </c>
      <c r="N726" s="1689">
        <f t="shared" si="138"/>
        <v>0</v>
      </c>
      <c r="O726" s="1689">
        <f t="shared" si="138"/>
        <v>0</v>
      </c>
      <c r="P726" s="1690">
        <f>$P$725*D726</f>
        <v>0</v>
      </c>
      <c r="Q726" s="985"/>
      <c r="R726" s="985"/>
      <c r="S726" s="985"/>
      <c r="T726" s="1858">
        <f t="shared" si="133"/>
        <v>0</v>
      </c>
    </row>
    <row r="727" spans="1:20" ht="22.2" hidden="1" customHeight="1">
      <c r="A727" s="1444">
        <f>COUNTIF($C$12:C727,"x")</f>
        <v>36</v>
      </c>
      <c r="B727" s="1451" t="s">
        <v>1814</v>
      </c>
      <c r="C727" s="966" t="str">
        <f t="shared" si="134"/>
        <v xml:space="preserve"> </v>
      </c>
      <c r="D727" s="1411">
        <v>1</v>
      </c>
      <c r="E727" s="976"/>
      <c r="F727" s="988" t="str">
        <f>VLOOKUP($B727,DG!A:D,DG!$C$2,)</f>
        <v>Vật liệu dựng trụ</v>
      </c>
      <c r="G727" s="976" t="str">
        <f>VLOOKUP($B727,DG!A:D,DG!$D$2,)</f>
        <v>trụ</v>
      </c>
      <c r="H727" s="1689">
        <f t="shared" si="138"/>
        <v>0</v>
      </c>
      <c r="I727" s="1689">
        <f t="shared" si="138"/>
        <v>0</v>
      </c>
      <c r="J727" s="1689">
        <f t="shared" si="138"/>
        <v>0</v>
      </c>
      <c r="K727" s="1689">
        <f t="shared" si="138"/>
        <v>0</v>
      </c>
      <c r="L727" s="1689">
        <f t="shared" si="138"/>
        <v>0</v>
      </c>
      <c r="M727" s="1689">
        <f t="shared" si="138"/>
        <v>0</v>
      </c>
      <c r="N727" s="1689">
        <f t="shared" si="138"/>
        <v>0</v>
      </c>
      <c r="O727" s="1689">
        <f t="shared" si="138"/>
        <v>0</v>
      </c>
      <c r="P727" s="1690">
        <f>$P$725*D727</f>
        <v>0</v>
      </c>
      <c r="Q727" s="985"/>
      <c r="R727" s="985"/>
      <c r="S727" s="985"/>
      <c r="T727" s="1858">
        <f t="shared" si="133"/>
        <v>0</v>
      </c>
    </row>
    <row r="728" spans="1:20" ht="22.2" hidden="1" customHeight="1">
      <c r="A728" s="1444">
        <f>COUNTIF($C$12:C728,"x")</f>
        <v>36</v>
      </c>
      <c r="B728" s="1451" t="s">
        <v>1599</v>
      </c>
      <c r="C728" s="966" t="str">
        <f t="shared" si="134"/>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3"/>
        <v>0</v>
      </c>
    </row>
    <row r="729" spans="1:20" ht="22.2" hidden="1" customHeight="1">
      <c r="A729" s="1444">
        <f>COUNTIF($C$12:C729,"x")</f>
        <v>36</v>
      </c>
      <c r="B729" s="1451" t="s">
        <v>1198</v>
      </c>
      <c r="C729" s="966" t="str">
        <f t="shared" si="134"/>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3"/>
        <v>0</v>
      </c>
    </row>
    <row r="730" spans="1:20" ht="22.2" hidden="1" customHeight="1">
      <c r="A730" s="1444">
        <f>COUNTIF($C$12:C730,"x")</f>
        <v>36</v>
      </c>
      <c r="B730" s="1460" t="s">
        <v>1199</v>
      </c>
      <c r="C730" s="966" t="str">
        <f t="shared" si="134"/>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3"/>
        <v>0</v>
      </c>
    </row>
    <row r="731" spans="1:20" ht="22.2" hidden="1" customHeight="1">
      <c r="A731" s="1444">
        <f>COUNTIF($C$12:C731,"x")</f>
        <v>36</v>
      </c>
      <c r="B731" s="1460" t="s">
        <v>635</v>
      </c>
      <c r="C731" s="966" t="str">
        <f t="shared" si="134"/>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3"/>
        <v>0</v>
      </c>
    </row>
    <row r="732" spans="1:20" ht="22.2" hidden="1" customHeight="1">
      <c r="A732" s="1444">
        <f>COUNTIF($C$12:C732,"x")</f>
        <v>36</v>
      </c>
      <c r="B732" s="1453" t="s">
        <v>232</v>
      </c>
      <c r="C732" s="966" t="str">
        <f t="shared" si="134"/>
        <v xml:space="preserve"> </v>
      </c>
      <c r="D732" s="1408"/>
      <c r="E732" s="977"/>
      <c r="F732" s="1272" t="s">
        <v>4549</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2" hidden="1" customHeight="1">
      <c r="A733" s="1444">
        <f>COUNTIF($C$12:C733,"x")</f>
        <v>36</v>
      </c>
      <c r="B733" s="1451" t="s">
        <v>874</v>
      </c>
      <c r="C733" s="966" t="str">
        <f t="shared" si="134"/>
        <v xml:space="preserve"> </v>
      </c>
      <c r="D733" s="1411">
        <v>1</v>
      </c>
      <c r="E733" s="976"/>
      <c r="F733" s="988" t="str">
        <f>VLOOKUP($B733,DG!A:D,DG!$C$2,)</f>
        <v>Trụ BTLT 8,4m F200 dự ứng lực</v>
      </c>
      <c r="G733" s="976" t="str">
        <f>VLOOKUP($B733,DG!A:D,DG!$D$2,)</f>
        <v>trụ</v>
      </c>
      <c r="H733" s="1689">
        <f t="shared" ref="H733:O734" si="139">H$732*$D733</f>
        <v>0</v>
      </c>
      <c r="I733" s="1689">
        <f t="shared" si="139"/>
        <v>0</v>
      </c>
      <c r="J733" s="1689">
        <f t="shared" si="139"/>
        <v>0</v>
      </c>
      <c r="K733" s="1689">
        <f t="shared" si="139"/>
        <v>0</v>
      </c>
      <c r="L733" s="1689">
        <f t="shared" si="139"/>
        <v>0</v>
      </c>
      <c r="M733" s="1689">
        <f t="shared" si="139"/>
        <v>0</v>
      </c>
      <c r="N733" s="1689">
        <f t="shared" si="139"/>
        <v>0</v>
      </c>
      <c r="O733" s="1689">
        <f t="shared" si="139"/>
        <v>0</v>
      </c>
      <c r="P733" s="1689">
        <f>$P$732*D733</f>
        <v>0</v>
      </c>
      <c r="Q733" s="985"/>
      <c r="R733" s="985"/>
      <c r="S733" s="985"/>
      <c r="T733" s="1858">
        <f t="shared" si="133"/>
        <v>0</v>
      </c>
    </row>
    <row r="734" spans="1:20" ht="22.2" hidden="1" customHeight="1">
      <c r="A734" s="1444">
        <f>COUNTIF($C$12:C734,"x")</f>
        <v>36</v>
      </c>
      <c r="B734" s="1451" t="s">
        <v>1814</v>
      </c>
      <c r="C734" s="966" t="str">
        <f t="shared" si="134"/>
        <v xml:space="preserve"> </v>
      </c>
      <c r="D734" s="1411">
        <v>1</v>
      </c>
      <c r="E734" s="976"/>
      <c r="F734" s="988" t="str">
        <f>VLOOKUP($B734,DG!A:D,DG!$C$2,)</f>
        <v>Vật liệu dựng trụ</v>
      </c>
      <c r="G734" s="976" t="str">
        <f>VLOOKUP($B734,DG!A:D,DG!$D$2,)</f>
        <v>trụ</v>
      </c>
      <c r="H734" s="1689">
        <f t="shared" si="139"/>
        <v>0</v>
      </c>
      <c r="I734" s="1689">
        <f t="shared" si="139"/>
        <v>0</v>
      </c>
      <c r="J734" s="1689">
        <f t="shared" si="139"/>
        <v>0</v>
      </c>
      <c r="K734" s="1689">
        <f t="shared" si="139"/>
        <v>0</v>
      </c>
      <c r="L734" s="1689">
        <f t="shared" si="139"/>
        <v>0</v>
      </c>
      <c r="M734" s="1689">
        <f t="shared" si="139"/>
        <v>0</v>
      </c>
      <c r="N734" s="1689">
        <f t="shared" si="139"/>
        <v>0</v>
      </c>
      <c r="O734" s="1689">
        <f t="shared" si="139"/>
        <v>0</v>
      </c>
      <c r="P734" s="1689">
        <f>$P$732*D734</f>
        <v>0</v>
      </c>
      <c r="Q734" s="985"/>
      <c r="R734" s="985"/>
      <c r="S734" s="985"/>
      <c r="T734" s="1858">
        <f t="shared" si="133"/>
        <v>0</v>
      </c>
    </row>
    <row r="735" spans="1:20" ht="22.2" hidden="1" customHeight="1">
      <c r="A735" s="1444">
        <f>COUNTIF($C$12:C735,"x")</f>
        <v>36</v>
      </c>
      <c r="B735" s="1451" t="s">
        <v>2252</v>
      </c>
      <c r="C735" s="966" t="str">
        <f t="shared" si="134"/>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3"/>
        <v>0</v>
      </c>
    </row>
    <row r="736" spans="1:20" ht="22.2" hidden="1" customHeight="1">
      <c r="A736" s="1444">
        <f>COUNTIF($C$12:C736,"x")</f>
        <v>36</v>
      </c>
      <c r="B736" s="1451" t="s">
        <v>1198</v>
      </c>
      <c r="C736" s="966" t="str">
        <f t="shared" si="134"/>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3"/>
        <v>0</v>
      </c>
    </row>
    <row r="737" spans="1:20" ht="22.2" hidden="1" customHeight="1">
      <c r="A737" s="1444">
        <f>COUNTIF($C$12:C737,"x")</f>
        <v>36</v>
      </c>
      <c r="B737" s="1460" t="s">
        <v>1199</v>
      </c>
      <c r="C737" s="966" t="str">
        <f t="shared" si="134"/>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3"/>
        <v>0</v>
      </c>
    </row>
    <row r="738" spans="1:20" ht="22.2" hidden="1" customHeight="1">
      <c r="A738" s="1444">
        <f>COUNTIF($C$12:C738,"x")</f>
        <v>36</v>
      </c>
      <c r="B738" s="1460" t="s">
        <v>635</v>
      </c>
      <c r="C738" s="966" t="str">
        <f t="shared" si="134"/>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3"/>
        <v>0</v>
      </c>
    </row>
    <row r="739" spans="1:20" ht="22.2" hidden="1" customHeight="1">
      <c r="A739" s="1444">
        <f>COUNTIF($C$12:C739,"x")</f>
        <v>36</v>
      </c>
      <c r="B739" s="1453" t="s">
        <v>185</v>
      </c>
      <c r="C739" s="966" t="str">
        <f t="shared" si="134"/>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2" hidden="1" customHeight="1">
      <c r="A740" s="1444">
        <f>COUNTIF($C$12:C740,"x")</f>
        <v>36</v>
      </c>
      <c r="B740" s="1451" t="s">
        <v>186</v>
      </c>
      <c r="C740" s="966" t="str">
        <f t="shared" si="134"/>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40">I$732*$D740</f>
        <v>0</v>
      </c>
      <c r="J740" s="1689">
        <f t="shared" si="140"/>
        <v>0</v>
      </c>
      <c r="K740" s="1689">
        <f t="shared" si="140"/>
        <v>0</v>
      </c>
      <c r="L740" s="1689">
        <f t="shared" si="140"/>
        <v>0</v>
      </c>
      <c r="M740" s="1689">
        <f t="shared" si="140"/>
        <v>0</v>
      </c>
      <c r="N740" s="1689">
        <f t="shared" si="140"/>
        <v>0</v>
      </c>
      <c r="O740" s="1689">
        <f t="shared" si="140"/>
        <v>0</v>
      </c>
      <c r="P740" s="1689"/>
      <c r="Q740" s="985"/>
      <c r="R740" s="985"/>
      <c r="S740" s="985"/>
      <c r="T740" s="1858">
        <f t="shared" si="133"/>
        <v>0</v>
      </c>
    </row>
    <row r="741" spans="1:20" ht="22.2" hidden="1" customHeight="1">
      <c r="A741" s="1444">
        <f>COUNTIF($C$12:C741,"x")</f>
        <v>36</v>
      </c>
      <c r="B741" s="1451" t="s">
        <v>1814</v>
      </c>
      <c r="C741" s="966" t="str">
        <f t="shared" si="134"/>
        <v xml:space="preserve"> </v>
      </c>
      <c r="D741" s="1411">
        <v>1</v>
      </c>
      <c r="E741" s="976"/>
      <c r="F741" s="988" t="str">
        <f>VLOOKUP($B741,DG!A:D,DG!$C$2,)</f>
        <v>Vật liệu dựng trụ</v>
      </c>
      <c r="G741" s="976" t="str">
        <f>VLOOKUP($B741,DG!A:D,DG!$D$2,)</f>
        <v>trụ</v>
      </c>
      <c r="H741" s="1689">
        <f>H740*$D741</f>
        <v>0</v>
      </c>
      <c r="I741" s="1689">
        <f t="shared" si="140"/>
        <v>0</v>
      </c>
      <c r="J741" s="1689">
        <f t="shared" si="140"/>
        <v>0</v>
      </c>
      <c r="K741" s="1689">
        <f t="shared" si="140"/>
        <v>0</v>
      </c>
      <c r="L741" s="1689">
        <f t="shared" si="140"/>
        <v>0</v>
      </c>
      <c r="M741" s="1689">
        <f t="shared" si="140"/>
        <v>0</v>
      </c>
      <c r="N741" s="1689">
        <f t="shared" si="140"/>
        <v>0</v>
      </c>
      <c r="O741" s="1689">
        <f t="shared" si="140"/>
        <v>0</v>
      </c>
      <c r="P741" s="1689"/>
      <c r="Q741" s="985"/>
      <c r="R741" s="985"/>
      <c r="S741" s="985"/>
      <c r="T741" s="1858">
        <f t="shared" si="133"/>
        <v>0</v>
      </c>
    </row>
    <row r="742" spans="1:20" ht="22.2" hidden="1" customHeight="1">
      <c r="A742" s="1444">
        <f>COUNTIF($C$12:C742,"x")</f>
        <v>36</v>
      </c>
      <c r="B742" s="1451" t="s">
        <v>2252</v>
      </c>
      <c r="C742" s="966" t="str">
        <f t="shared" si="134"/>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3"/>
        <v>0</v>
      </c>
    </row>
    <row r="743" spans="1:20" ht="22.2" hidden="1" customHeight="1">
      <c r="A743" s="1444">
        <f>COUNTIF($C$12:C743,"x")</f>
        <v>36</v>
      </c>
      <c r="B743" s="1451" t="s">
        <v>1198</v>
      </c>
      <c r="C743" s="966" t="str">
        <f t="shared" si="134"/>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3"/>
        <v>0</v>
      </c>
    </row>
    <row r="744" spans="1:20" ht="22.2" hidden="1" customHeight="1">
      <c r="A744" s="1444">
        <f>COUNTIF($C$12:C744,"x")</f>
        <v>36</v>
      </c>
      <c r="B744" s="1460" t="s">
        <v>1199</v>
      </c>
      <c r="C744" s="966" t="str">
        <f t="shared" si="134"/>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3"/>
        <v>0</v>
      </c>
    </row>
    <row r="745" spans="1:20" ht="22.2" hidden="1" customHeight="1">
      <c r="A745" s="1444">
        <f>COUNTIF($C$12:C745,"x")</f>
        <v>36</v>
      </c>
      <c r="B745" s="1460" t="s">
        <v>635</v>
      </c>
      <c r="C745" s="966" t="str">
        <f t="shared" si="134"/>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3"/>
        <v>0</v>
      </c>
    </row>
    <row r="746" spans="1:20" ht="22.2" hidden="1" customHeight="1">
      <c r="A746" s="1444">
        <f>COUNTIF($C$12:C746,"x")</f>
        <v>36</v>
      </c>
      <c r="B746" s="1453" t="s">
        <v>232</v>
      </c>
      <c r="C746" s="966" t="str">
        <f t="shared" si="134"/>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2" hidden="1" customHeight="1">
      <c r="A747" s="1444">
        <f>COUNTIF($C$12:C747,"x")</f>
        <v>36</v>
      </c>
      <c r="B747" s="1451" t="s">
        <v>1814</v>
      </c>
      <c r="C747" s="966" t="str">
        <f t="shared" si="134"/>
        <v xml:space="preserve"> </v>
      </c>
      <c r="D747" s="1411">
        <v>1</v>
      </c>
      <c r="E747" s="976"/>
      <c r="F747" s="988" t="s">
        <v>2403</v>
      </c>
      <c r="G747" s="976" t="str">
        <f>VLOOKUP($B747,DG!A:D,DG!$D$2,)</f>
        <v>trụ</v>
      </c>
      <c r="H747" s="1689">
        <f t="shared" ref="H747:O747" si="141">H$746*$D747</f>
        <v>0</v>
      </c>
      <c r="I747" s="1689">
        <f t="shared" si="141"/>
        <v>0</v>
      </c>
      <c r="J747" s="1689">
        <f t="shared" si="141"/>
        <v>0</v>
      </c>
      <c r="K747" s="1689">
        <f t="shared" si="141"/>
        <v>0</v>
      </c>
      <c r="L747" s="1689">
        <f t="shared" si="141"/>
        <v>0</v>
      </c>
      <c r="M747" s="1689">
        <f t="shared" si="141"/>
        <v>0</v>
      </c>
      <c r="N747" s="1689">
        <f t="shared" si="141"/>
        <v>0</v>
      </c>
      <c r="O747" s="1689">
        <f t="shared" si="141"/>
        <v>0</v>
      </c>
      <c r="P747" s="1689"/>
      <c r="Q747" s="985"/>
      <c r="R747" s="985"/>
      <c r="S747" s="985"/>
      <c r="T747" s="1858">
        <f t="shared" si="133"/>
        <v>0</v>
      </c>
    </row>
    <row r="748" spans="1:20" ht="22.2" hidden="1" customHeight="1">
      <c r="A748" s="1444">
        <f>COUNTIF($C$12:C748,"x")</f>
        <v>36</v>
      </c>
      <c r="B748" s="1451" t="s">
        <v>2252</v>
      </c>
      <c r="C748" s="966" t="str">
        <f t="shared" si="134"/>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3"/>
        <v>0</v>
      </c>
    </row>
    <row r="749" spans="1:20" ht="22.2" hidden="1" customHeight="1">
      <c r="A749" s="1444">
        <f>COUNTIF($C$12:C749,"x")</f>
        <v>36</v>
      </c>
      <c r="B749" s="1460" t="s">
        <v>635</v>
      </c>
      <c r="C749" s="966" t="str">
        <f t="shared" si="134"/>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3"/>
        <v>0</v>
      </c>
    </row>
    <row r="750" spans="1:20" ht="22.2" customHeight="1">
      <c r="A750" s="1444">
        <f>COUNTIF($C$12:C750,"x")</f>
        <v>37</v>
      </c>
      <c r="B750" s="1453" t="s">
        <v>510</v>
      </c>
      <c r="C750" s="966" t="str">
        <f t="shared" si="134"/>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1687">
        <f>T750</f>
        <v>33</v>
      </c>
      <c r="Q750" s="979">
        <f>IF(P750&gt;H750,P750-H750,0)</f>
        <v>0</v>
      </c>
      <c r="R750" s="979">
        <f>IF(H750&gt;P750,H750-P750,0)</f>
        <v>0</v>
      </c>
      <c r="S750" s="979"/>
      <c r="T750" s="1858">
        <f>IFERROR(HLOOKUP(B750,pp1p!$1:$3,3,0),0)+IFERROR(HLOOKUP(B750,pp3p1m!$1:$3,3,0),0)</f>
        <v>33</v>
      </c>
    </row>
    <row r="751" spans="1:20" ht="22.2" hidden="1" customHeight="1">
      <c r="A751" s="1444">
        <f>COUNTIF($C$12:C751,"x")</f>
        <v>38</v>
      </c>
      <c r="B751" s="1451" t="s">
        <v>1814</v>
      </c>
      <c r="C751" s="966" t="str">
        <f t="shared" si="134"/>
        <v>x</v>
      </c>
      <c r="D751" s="1411">
        <v>1</v>
      </c>
      <c r="E751" s="976"/>
      <c r="F751" s="988" t="s">
        <v>2403</v>
      </c>
      <c r="G751" s="976" t="str">
        <f>VLOOKUP($B751,DG!A:D,DG!$D$2,)</f>
        <v>trụ</v>
      </c>
      <c r="H751" s="1689">
        <f t="shared" ref="H751:R754" si="142">H$750*$D751</f>
        <v>33</v>
      </c>
      <c r="I751" s="1689">
        <f t="shared" si="142"/>
        <v>0</v>
      </c>
      <c r="J751" s="1689">
        <f t="shared" si="142"/>
        <v>0</v>
      </c>
      <c r="K751" s="1689">
        <f t="shared" si="142"/>
        <v>33</v>
      </c>
      <c r="L751" s="1689">
        <f t="shared" si="142"/>
        <v>0</v>
      </c>
      <c r="M751" s="1689">
        <f t="shared" si="142"/>
        <v>0</v>
      </c>
      <c r="N751" s="1689">
        <f t="shared" si="142"/>
        <v>0</v>
      </c>
      <c r="O751" s="1689">
        <f t="shared" si="142"/>
        <v>0</v>
      </c>
      <c r="P751" s="1689">
        <f t="shared" si="142"/>
        <v>33</v>
      </c>
      <c r="Q751" s="1689">
        <f t="shared" si="142"/>
        <v>0</v>
      </c>
      <c r="R751" s="1689">
        <f t="shared" si="142"/>
        <v>0</v>
      </c>
      <c r="S751" s="985"/>
      <c r="T751" s="1858">
        <f t="shared" si="133"/>
        <v>0</v>
      </c>
    </row>
    <row r="752" spans="1:20" ht="22.2" hidden="1" customHeight="1">
      <c r="A752" s="1444">
        <f>COUNTIF($C$12:C752,"x")</f>
        <v>39</v>
      </c>
      <c r="B752" s="1451" t="s">
        <v>2252</v>
      </c>
      <c r="C752" s="966" t="str">
        <f t="shared" si="134"/>
        <v>x</v>
      </c>
      <c r="D752" s="1411">
        <v>1</v>
      </c>
      <c r="E752" s="976" t="str">
        <f>VLOOKUP($B752,DG!A:D,DG!$B$2,)</f>
        <v>05.5302</v>
      </c>
      <c r="F752" s="988" t="s">
        <v>2404</v>
      </c>
      <c r="G752" s="976" t="str">
        <f>VLOOKUP($B752,DG!A:D,DG!$D$2,)</f>
        <v>trụ</v>
      </c>
      <c r="H752" s="1689">
        <f t="shared" si="142"/>
        <v>33</v>
      </c>
      <c r="I752" s="1689">
        <f t="shared" si="142"/>
        <v>0</v>
      </c>
      <c r="J752" s="1689">
        <f t="shared" si="142"/>
        <v>0</v>
      </c>
      <c r="K752" s="1689">
        <f t="shared" si="142"/>
        <v>33</v>
      </c>
      <c r="L752" s="1689">
        <f t="shared" si="142"/>
        <v>0</v>
      </c>
      <c r="M752" s="1689">
        <f t="shared" si="142"/>
        <v>0</v>
      </c>
      <c r="N752" s="1689">
        <f t="shared" si="142"/>
        <v>0</v>
      </c>
      <c r="O752" s="1689">
        <f t="shared" si="142"/>
        <v>0</v>
      </c>
      <c r="P752" s="1689">
        <f t="shared" si="142"/>
        <v>33</v>
      </c>
      <c r="Q752" s="1689">
        <f t="shared" si="142"/>
        <v>0</v>
      </c>
      <c r="R752" s="1689">
        <f t="shared" si="142"/>
        <v>0</v>
      </c>
      <c r="S752" s="985"/>
      <c r="T752" s="1858">
        <f t="shared" si="133"/>
        <v>0</v>
      </c>
    </row>
    <row r="753" spans="1:20" ht="22.2" hidden="1" customHeight="1">
      <c r="A753" s="1444">
        <f>COUNTIF($C$12:C753,"x")</f>
        <v>40</v>
      </c>
      <c r="B753" s="1451" t="s">
        <v>1814</v>
      </c>
      <c r="C753" s="966" t="str">
        <f t="shared" si="134"/>
        <v>x</v>
      </c>
      <c r="D753" s="1411">
        <v>1</v>
      </c>
      <c r="E753" s="976">
        <f>VLOOKUP($B753,DG!A:D,DG!$B$2,)</f>
        <v>0</v>
      </c>
      <c r="F753" s="988" t="str">
        <f>VLOOKUP($B753,DG!A:D,DG!$C$2,)</f>
        <v>Vật liệu dựng trụ</v>
      </c>
      <c r="G753" s="976" t="str">
        <f>VLOOKUP($B753,DG!A:D,DG!$D$2,)</f>
        <v>trụ</v>
      </c>
      <c r="H753" s="1689">
        <f t="shared" si="142"/>
        <v>33</v>
      </c>
      <c r="I753" s="1689">
        <f t="shared" si="142"/>
        <v>0</v>
      </c>
      <c r="J753" s="1689">
        <f t="shared" si="142"/>
        <v>0</v>
      </c>
      <c r="K753" s="1689">
        <f t="shared" si="142"/>
        <v>33</v>
      </c>
      <c r="L753" s="1689">
        <f t="shared" si="142"/>
        <v>0</v>
      </c>
      <c r="M753" s="1689">
        <f t="shared" si="142"/>
        <v>0</v>
      </c>
      <c r="N753" s="1689">
        <f t="shared" si="142"/>
        <v>0</v>
      </c>
      <c r="O753" s="1689">
        <f t="shared" si="142"/>
        <v>0</v>
      </c>
      <c r="P753" s="1689">
        <f t="shared" si="142"/>
        <v>33</v>
      </c>
      <c r="Q753" s="1689">
        <f t="shared" si="142"/>
        <v>0</v>
      </c>
      <c r="R753" s="1689">
        <f t="shared" si="142"/>
        <v>0</v>
      </c>
      <c r="S753" s="985"/>
      <c r="T753" s="1858">
        <f t="shared" ref="T753:T816" si="143">IFERROR(HLOOKUP(B753,BangKeTru,3,0),0)</f>
        <v>0</v>
      </c>
    </row>
    <row r="754" spans="1:20" ht="22.2" hidden="1" customHeight="1">
      <c r="A754" s="1444">
        <f>COUNTIF($C$12:C754,"x")</f>
        <v>41</v>
      </c>
      <c r="B754" s="1451" t="s">
        <v>2252</v>
      </c>
      <c r="C754" s="966" t="str">
        <f t="shared" ref="C754:C810" si="144">IF(OR(P754&lt;&gt;0,H754&lt;&gt;0),"x"," ")</f>
        <v>x</v>
      </c>
      <c r="D754" s="1411">
        <v>1</v>
      </c>
      <c r="E754" s="976" t="str">
        <f>VLOOKUP($B754,DG!A:D,DG!$B$2,)</f>
        <v>05.5302</v>
      </c>
      <c r="F754" s="988" t="str">
        <f>VLOOKUP($B754,DG!A:D,DG!$C$2,)</f>
        <v>Dựng trụ BTLT &lt;10m thủ công +cơ giới</v>
      </c>
      <c r="G754" s="976" t="str">
        <f>VLOOKUP($B754,DG!A:D,DG!$D$2,)</f>
        <v>trụ</v>
      </c>
      <c r="H754" s="1689">
        <f t="shared" si="142"/>
        <v>33</v>
      </c>
      <c r="I754" s="1689">
        <f t="shared" si="142"/>
        <v>0</v>
      </c>
      <c r="J754" s="1689">
        <f t="shared" si="142"/>
        <v>0</v>
      </c>
      <c r="K754" s="1689">
        <f t="shared" si="142"/>
        <v>33</v>
      </c>
      <c r="L754" s="1689">
        <f t="shared" si="142"/>
        <v>0</v>
      </c>
      <c r="M754" s="1689">
        <f t="shared" si="142"/>
        <v>0</v>
      </c>
      <c r="N754" s="1689">
        <f t="shared" si="142"/>
        <v>0</v>
      </c>
      <c r="O754" s="1689">
        <f t="shared" si="142"/>
        <v>0</v>
      </c>
      <c r="P754" s="1689">
        <f t="shared" si="142"/>
        <v>33</v>
      </c>
      <c r="Q754" s="1689">
        <f t="shared" si="142"/>
        <v>0</v>
      </c>
      <c r="R754" s="1689">
        <f t="shared" si="142"/>
        <v>0</v>
      </c>
      <c r="S754" s="985"/>
      <c r="T754" s="1858">
        <f t="shared" si="143"/>
        <v>0</v>
      </c>
    </row>
    <row r="755" spans="1:20" ht="22.2" hidden="1" customHeight="1">
      <c r="A755" s="1444">
        <f>COUNTIF($C$12:C755,"x")</f>
        <v>41</v>
      </c>
      <c r="B755" s="1460" t="s">
        <v>635</v>
      </c>
      <c r="C755" s="966" t="str">
        <f t="shared" si="144"/>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3"/>
        <v>0</v>
      </c>
    </row>
    <row r="756" spans="1:20" ht="22.2" hidden="1" customHeight="1">
      <c r="A756" s="1444">
        <f>COUNTIF($C$12:C756,"x")</f>
        <v>41</v>
      </c>
      <c r="B756" s="1453" t="s">
        <v>300</v>
      </c>
      <c r="C756" s="966" t="str">
        <f t="shared" si="144"/>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2" hidden="1" customHeight="1">
      <c r="A757" s="1444">
        <f>COUNTIF($C$12:C757,"x")</f>
        <v>41</v>
      </c>
      <c r="B757" s="1451" t="s">
        <v>114</v>
      </c>
      <c r="C757" s="966" t="str">
        <f t="shared" si="144"/>
        <v xml:space="preserve"> </v>
      </c>
      <c r="D757" s="1411">
        <v>1</v>
      </c>
      <c r="E757" s="976"/>
      <c r="F757" s="988" t="str">
        <f>VLOOKUP($B757,DG!A:D,DG!$C$2,)</f>
        <v>Trụ BTLT 10,5m F350 dự ứng lực</v>
      </c>
      <c r="G757" s="976" t="str">
        <f>VLOOKUP($B757,DG!A:D,DG!$D$2,)</f>
        <v>trụ</v>
      </c>
      <c r="H757" s="1689">
        <f t="shared" ref="H757:O758" si="145">H$756*$D757</f>
        <v>0</v>
      </c>
      <c r="I757" s="1689">
        <f t="shared" si="145"/>
        <v>0</v>
      </c>
      <c r="J757" s="1689">
        <f t="shared" si="145"/>
        <v>0</v>
      </c>
      <c r="K757" s="1689">
        <f t="shared" si="145"/>
        <v>0</v>
      </c>
      <c r="L757" s="1689">
        <f t="shared" si="145"/>
        <v>0</v>
      </c>
      <c r="M757" s="1689">
        <f t="shared" si="145"/>
        <v>0</v>
      </c>
      <c r="N757" s="1689">
        <f t="shared" si="145"/>
        <v>0</v>
      </c>
      <c r="O757" s="1689">
        <f t="shared" si="145"/>
        <v>0</v>
      </c>
      <c r="P757" s="1689"/>
      <c r="Q757" s="985"/>
      <c r="R757" s="985"/>
      <c r="S757" s="985"/>
      <c r="T757" s="1858">
        <f t="shared" si="143"/>
        <v>0</v>
      </c>
    </row>
    <row r="758" spans="1:20" ht="22.2" hidden="1" customHeight="1">
      <c r="A758" s="1444">
        <f>COUNTIF($C$12:C758,"x")</f>
        <v>41</v>
      </c>
      <c r="B758" s="1451" t="s">
        <v>1814</v>
      </c>
      <c r="C758" s="966" t="str">
        <f t="shared" si="144"/>
        <v xml:space="preserve"> </v>
      </c>
      <c r="D758" s="1411">
        <v>1</v>
      </c>
      <c r="E758" s="976"/>
      <c r="F758" s="988" t="str">
        <f>VLOOKUP($B758,DG!A:D,DG!$C$2,)</f>
        <v>Vật liệu dựng trụ</v>
      </c>
      <c r="G758" s="976" t="str">
        <f>VLOOKUP($B758,DG!A:D,DG!$D$2,)</f>
        <v>trụ</v>
      </c>
      <c r="H758" s="1689">
        <f t="shared" si="145"/>
        <v>0</v>
      </c>
      <c r="I758" s="1689">
        <f t="shared" si="145"/>
        <v>0</v>
      </c>
      <c r="J758" s="1689">
        <f t="shared" si="145"/>
        <v>0</v>
      </c>
      <c r="K758" s="1689">
        <f t="shared" si="145"/>
        <v>0</v>
      </c>
      <c r="L758" s="1689">
        <f t="shared" si="145"/>
        <v>0</v>
      </c>
      <c r="M758" s="1689">
        <f t="shared" si="145"/>
        <v>0</v>
      </c>
      <c r="N758" s="1689">
        <f t="shared" si="145"/>
        <v>0</v>
      </c>
      <c r="O758" s="1689">
        <f t="shared" si="145"/>
        <v>0</v>
      </c>
      <c r="P758" s="1689"/>
      <c r="Q758" s="985"/>
      <c r="R758" s="985"/>
      <c r="S758" s="985"/>
      <c r="T758" s="1858">
        <f t="shared" si="143"/>
        <v>0</v>
      </c>
    </row>
    <row r="759" spans="1:20" ht="22.2" hidden="1" customHeight="1">
      <c r="A759" s="1444">
        <f>COUNTIF($C$12:C759,"x")</f>
        <v>41</v>
      </c>
      <c r="B759" s="1451" t="s">
        <v>1612</v>
      </c>
      <c r="C759" s="966" t="str">
        <f t="shared" si="144"/>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3"/>
        <v>0</v>
      </c>
    </row>
    <row r="760" spans="1:20" ht="22.2" hidden="1" customHeight="1">
      <c r="A760" s="1444">
        <f>COUNTIF($C$12:C760,"x")</f>
        <v>41</v>
      </c>
      <c r="B760" s="1451" t="s">
        <v>1198</v>
      </c>
      <c r="C760" s="966" t="str">
        <f t="shared" si="144"/>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3"/>
        <v>0</v>
      </c>
    </row>
    <row r="761" spans="1:20" ht="22.2" hidden="1" customHeight="1">
      <c r="A761" s="1444">
        <f>COUNTIF($C$12:C761,"x")</f>
        <v>41</v>
      </c>
      <c r="B761" s="1460" t="s">
        <v>1199</v>
      </c>
      <c r="C761" s="966" t="str">
        <f t="shared" si="144"/>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3"/>
        <v>0</v>
      </c>
    </row>
    <row r="762" spans="1:20" ht="22.2" hidden="1" customHeight="1">
      <c r="A762" s="1444">
        <f>COUNTIF($C$12:C762,"x")</f>
        <v>41</v>
      </c>
      <c r="B762" s="1460" t="s">
        <v>635</v>
      </c>
      <c r="C762" s="966" t="str">
        <f t="shared" si="144"/>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3"/>
        <v>0</v>
      </c>
    </row>
    <row r="763" spans="1:20" ht="22.2" hidden="1" customHeight="1">
      <c r="A763" s="1444">
        <f>COUNTIF($C$12:C763,"x")</f>
        <v>41</v>
      </c>
      <c r="B763" s="1453" t="s">
        <v>370</v>
      </c>
      <c r="C763" s="966" t="str">
        <f t="shared" si="144"/>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2" hidden="1" customHeight="1">
      <c r="A764" s="1444">
        <f>COUNTIF($C$12:C764,"x")</f>
        <v>41</v>
      </c>
      <c r="B764" s="1451" t="s">
        <v>1612</v>
      </c>
      <c r="C764" s="966" t="str">
        <f t="shared" si="144"/>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3"/>
        <v>0</v>
      </c>
    </row>
    <row r="765" spans="1:20" ht="22.2" hidden="1" customHeight="1">
      <c r="A765" s="1444">
        <f>COUNTIF($C$12:C765,"x")</f>
        <v>41</v>
      </c>
      <c r="B765" s="1453" t="s">
        <v>1186</v>
      </c>
      <c r="C765" s="966" t="str">
        <f t="shared" si="144"/>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2" hidden="1" customHeight="1">
      <c r="A766" s="1444">
        <f>COUNTIF($C$12:C766,"x")</f>
        <v>41</v>
      </c>
      <c r="B766" s="1451" t="s">
        <v>115</v>
      </c>
      <c r="C766" s="966" t="str">
        <f t="shared" si="144"/>
        <v xml:space="preserve"> </v>
      </c>
      <c r="D766" s="1411">
        <v>1</v>
      </c>
      <c r="E766" s="976"/>
      <c r="F766" s="988" t="str">
        <f>VLOOKUP($B766,DG!A:D,DG!$C$2,)</f>
        <v>Trụ BTLT 12m F540 dự ứng lực</v>
      </c>
      <c r="G766" s="976" t="str">
        <f>VLOOKUP($B766,DG!A:D,DG!$D$2,)</f>
        <v>trụ</v>
      </c>
      <c r="H766" s="1689">
        <f t="shared" ref="H766:R767" si="146">H$765*$D766</f>
        <v>0</v>
      </c>
      <c r="I766" s="1689">
        <f t="shared" si="146"/>
        <v>0</v>
      </c>
      <c r="J766" s="1689">
        <f t="shared" si="146"/>
        <v>0</v>
      </c>
      <c r="K766" s="1689">
        <f t="shared" si="146"/>
        <v>0</v>
      </c>
      <c r="L766" s="1689">
        <f t="shared" si="146"/>
        <v>0</v>
      </c>
      <c r="M766" s="1689">
        <f t="shared" si="146"/>
        <v>0</v>
      </c>
      <c r="N766" s="1689">
        <f t="shared" si="146"/>
        <v>0</v>
      </c>
      <c r="O766" s="1689">
        <f t="shared" si="146"/>
        <v>0</v>
      </c>
      <c r="P766" s="1689">
        <f t="shared" si="146"/>
        <v>0</v>
      </c>
      <c r="Q766" s="1689">
        <f t="shared" si="146"/>
        <v>0</v>
      </c>
      <c r="R766" s="1689">
        <f t="shared" si="146"/>
        <v>0</v>
      </c>
      <c r="S766" s="985"/>
      <c r="T766" s="1858">
        <f t="shared" si="143"/>
        <v>0</v>
      </c>
    </row>
    <row r="767" spans="1:20" ht="22.2" hidden="1" customHeight="1">
      <c r="A767" s="1444">
        <f>COUNTIF($C$12:C767,"x")</f>
        <v>41</v>
      </c>
      <c r="B767" s="1451" t="s">
        <v>1814</v>
      </c>
      <c r="C767" s="966" t="str">
        <f t="shared" si="144"/>
        <v xml:space="preserve"> </v>
      </c>
      <c r="D767" s="1411">
        <v>1</v>
      </c>
      <c r="E767" s="976"/>
      <c r="F767" s="988" t="str">
        <f>VLOOKUP($B767,DG!A:D,DG!$C$2,)</f>
        <v>Vật liệu dựng trụ</v>
      </c>
      <c r="G767" s="976" t="str">
        <f>VLOOKUP($B767,DG!A:D,DG!$D$2,)</f>
        <v>trụ</v>
      </c>
      <c r="H767" s="1689">
        <f t="shared" si="146"/>
        <v>0</v>
      </c>
      <c r="I767" s="1689">
        <f t="shared" si="146"/>
        <v>0</v>
      </c>
      <c r="J767" s="1689">
        <f t="shared" si="146"/>
        <v>0</v>
      </c>
      <c r="K767" s="1689">
        <f t="shared" si="146"/>
        <v>0</v>
      </c>
      <c r="L767" s="1689">
        <f t="shared" si="146"/>
        <v>0</v>
      </c>
      <c r="M767" s="1689">
        <f t="shared" si="146"/>
        <v>0</v>
      </c>
      <c r="N767" s="1689">
        <f t="shared" si="146"/>
        <v>0</v>
      </c>
      <c r="O767" s="1689">
        <f t="shared" si="146"/>
        <v>0</v>
      </c>
      <c r="P767" s="1689">
        <f t="shared" si="146"/>
        <v>0</v>
      </c>
      <c r="Q767" s="1689">
        <f t="shared" si="146"/>
        <v>0</v>
      </c>
      <c r="R767" s="1689">
        <f t="shared" si="146"/>
        <v>0</v>
      </c>
      <c r="S767" s="985"/>
      <c r="T767" s="1858">
        <f t="shared" si="143"/>
        <v>0</v>
      </c>
    </row>
    <row r="768" spans="1:20" ht="22.2" hidden="1" customHeight="1">
      <c r="A768" s="1444">
        <f>COUNTIF($C$12:C768,"x")</f>
        <v>41</v>
      </c>
      <c r="B768" s="1451" t="s">
        <v>1614</v>
      </c>
      <c r="C768" s="966" t="str">
        <f t="shared" si="144"/>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3"/>
        <v>0</v>
      </c>
    </row>
    <row r="769" spans="1:20" ht="22.2" hidden="1" customHeight="1">
      <c r="A769" s="1444">
        <f>COUNTIF($C$12:C769,"x")</f>
        <v>41</v>
      </c>
      <c r="B769" s="1451" t="s">
        <v>1198</v>
      </c>
      <c r="C769" s="966" t="str">
        <f t="shared" si="144"/>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3"/>
        <v>0</v>
      </c>
    </row>
    <row r="770" spans="1:20" ht="22.2" hidden="1" customHeight="1">
      <c r="A770" s="1444">
        <f>COUNTIF($C$12:C770,"x")</f>
        <v>41</v>
      </c>
      <c r="B770" s="1460" t="s">
        <v>1199</v>
      </c>
      <c r="C770" s="966" t="str">
        <f t="shared" si="144"/>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3"/>
        <v>0</v>
      </c>
    </row>
    <row r="771" spans="1:20" ht="22.2" hidden="1" customHeight="1">
      <c r="A771" s="1444">
        <f>COUNTIF($C$12:C771,"x")</f>
        <v>41</v>
      </c>
      <c r="B771" s="1460" t="s">
        <v>635</v>
      </c>
      <c r="C771" s="966" t="str">
        <f t="shared" si="144"/>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3"/>
        <v>0</v>
      </c>
    </row>
    <row r="772" spans="1:20" ht="22.2" hidden="1" customHeight="1">
      <c r="A772" s="1444">
        <f>COUNTIF($C$12:C772,"x")</f>
        <v>41</v>
      </c>
      <c r="B772" s="1453" t="s">
        <v>301</v>
      </c>
      <c r="C772" s="1697" t="str">
        <f t="shared" si="144"/>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2" hidden="1" customHeight="1">
      <c r="A773" s="1444">
        <f>COUNTIF($C$12:C773,"x")</f>
        <v>41</v>
      </c>
      <c r="B773" s="1447" t="s">
        <v>115</v>
      </c>
      <c r="C773" s="1697" t="str">
        <f t="shared" si="144"/>
        <v xml:space="preserve"> </v>
      </c>
      <c r="D773" s="1411">
        <v>1</v>
      </c>
      <c r="E773" s="976"/>
      <c r="F773" s="988" t="str">
        <f>VLOOKUP($B773,DG!A:D,DG!$C$2,)</f>
        <v>Trụ BTLT 12m F540 dự ứng lực</v>
      </c>
      <c r="G773" s="976" t="str">
        <f>VLOOKUP($B773,DG!A:D,DG!$D$2,)</f>
        <v>trụ</v>
      </c>
      <c r="H773" s="1689">
        <f>H$772*$D773</f>
        <v>0</v>
      </c>
      <c r="I773" s="1689">
        <f t="shared" ref="I773:R775" si="147">I$772*$D773</f>
        <v>0</v>
      </c>
      <c r="J773" s="1689">
        <f t="shared" si="147"/>
        <v>0</v>
      </c>
      <c r="K773" s="1689">
        <f t="shared" si="147"/>
        <v>0</v>
      </c>
      <c r="L773" s="1689">
        <f t="shared" si="147"/>
        <v>0</v>
      </c>
      <c r="M773" s="1689">
        <f t="shared" si="147"/>
        <v>0</v>
      </c>
      <c r="N773" s="1689">
        <f t="shared" si="147"/>
        <v>0</v>
      </c>
      <c r="O773" s="1689">
        <f t="shared" si="147"/>
        <v>0</v>
      </c>
      <c r="P773" s="1689">
        <f t="shared" si="147"/>
        <v>0</v>
      </c>
      <c r="Q773" s="1689">
        <f t="shared" si="147"/>
        <v>0</v>
      </c>
      <c r="R773" s="1689">
        <f t="shared" si="147"/>
        <v>0</v>
      </c>
      <c r="S773" s="985"/>
      <c r="T773" s="1858">
        <f t="shared" si="143"/>
        <v>0</v>
      </c>
    </row>
    <row r="774" spans="1:20" ht="22.2" hidden="1" customHeight="1">
      <c r="A774" s="1444">
        <f>COUNTIF($C$12:C774,"x")</f>
        <v>41</v>
      </c>
      <c r="B774" s="1447" t="s">
        <v>1814</v>
      </c>
      <c r="C774" s="1697" t="str">
        <f t="shared" si="144"/>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8">M$765*$D774</f>
        <v>0</v>
      </c>
      <c r="N774" s="1689">
        <f t="shared" si="148"/>
        <v>0</v>
      </c>
      <c r="O774" s="1689">
        <f t="shared" si="148"/>
        <v>0</v>
      </c>
      <c r="P774" s="1689">
        <f t="shared" si="147"/>
        <v>0</v>
      </c>
      <c r="Q774" s="1689">
        <f t="shared" si="147"/>
        <v>0</v>
      </c>
      <c r="R774" s="1689">
        <f t="shared" si="147"/>
        <v>0</v>
      </c>
      <c r="S774" s="985"/>
      <c r="T774" s="1858">
        <f t="shared" si="143"/>
        <v>0</v>
      </c>
    </row>
    <row r="775" spans="1:20" ht="22.2" hidden="1" customHeight="1">
      <c r="A775" s="1444">
        <f>COUNTIF($C$12:C775,"x")</f>
        <v>41</v>
      </c>
      <c r="B775" s="1447" t="s">
        <v>2169</v>
      </c>
      <c r="C775" s="1697" t="str">
        <f t="shared" si="144"/>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7"/>
        <v>0</v>
      </c>
      <c r="Q775" s="1689">
        <f t="shared" si="147"/>
        <v>0</v>
      </c>
      <c r="R775" s="1689">
        <f t="shared" si="147"/>
        <v>0</v>
      </c>
      <c r="S775" s="990"/>
      <c r="T775" s="1858">
        <f t="shared" si="143"/>
        <v>0</v>
      </c>
    </row>
    <row r="776" spans="1:20" ht="22.2" hidden="1" customHeight="1">
      <c r="A776" s="1444">
        <f>COUNTIF($C$12:C776,"x")</f>
        <v>41</v>
      </c>
      <c r="B776" s="1451" t="s">
        <v>1198</v>
      </c>
      <c r="C776" s="966" t="str">
        <f t="shared" si="144"/>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3"/>
        <v>0</v>
      </c>
    </row>
    <row r="777" spans="1:20" ht="22.2" hidden="1" customHeight="1">
      <c r="A777" s="1444">
        <f>COUNTIF($C$12:C777,"x")</f>
        <v>41</v>
      </c>
      <c r="B777" s="1460" t="s">
        <v>1199</v>
      </c>
      <c r="C777" s="966" t="str">
        <f t="shared" si="144"/>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3"/>
        <v>0</v>
      </c>
    </row>
    <row r="778" spans="1:20" ht="22.2" hidden="1" customHeight="1">
      <c r="A778" s="1444">
        <f>COUNTIF($C$12:C778,"x")</f>
        <v>41</v>
      </c>
      <c r="B778" s="1460" t="s">
        <v>635</v>
      </c>
      <c r="C778" s="966" t="str">
        <f t="shared" si="144"/>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3"/>
        <v>0</v>
      </c>
    </row>
    <row r="779" spans="1:20" ht="22.2" hidden="1" customHeight="1">
      <c r="A779" s="1444">
        <f>COUNTIF($C$12:C779,"x")</f>
        <v>41</v>
      </c>
      <c r="B779" s="1453" t="s">
        <v>2308</v>
      </c>
      <c r="C779" s="966" t="str">
        <f t="shared" si="144"/>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2" hidden="1" customHeight="1">
      <c r="A780" s="1444">
        <f>COUNTIF($C$12:C780,"x")</f>
        <v>41</v>
      </c>
      <c r="B780" s="1451" t="s">
        <v>2412</v>
      </c>
      <c r="C780" s="966" t="str">
        <f t="shared" si="144"/>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9">M$765*$D780</f>
        <v>0</v>
      </c>
      <c r="N780" s="1689">
        <f t="shared" si="149"/>
        <v>0</v>
      </c>
      <c r="O780" s="1689">
        <f t="shared" si="149"/>
        <v>0</v>
      </c>
      <c r="P780" s="1689"/>
      <c r="Q780" s="985"/>
      <c r="R780" s="985"/>
      <c r="S780" s="985"/>
      <c r="T780" s="1858">
        <f t="shared" si="143"/>
        <v>0</v>
      </c>
    </row>
    <row r="781" spans="1:20" ht="22.2" hidden="1" customHeight="1">
      <c r="A781" s="1444">
        <f>COUNTIF($C$12:C781,"x")</f>
        <v>41</v>
      </c>
      <c r="B781" s="1451" t="s">
        <v>1814</v>
      </c>
      <c r="C781" s="966" t="str">
        <f t="shared" si="144"/>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9"/>
        <v>0</v>
      </c>
      <c r="N781" s="1689">
        <f t="shared" si="149"/>
        <v>0</v>
      </c>
      <c r="O781" s="1689">
        <f t="shared" si="149"/>
        <v>0</v>
      </c>
      <c r="P781" s="1689"/>
      <c r="Q781" s="985"/>
      <c r="R781" s="985"/>
      <c r="S781" s="985"/>
      <c r="T781" s="1858">
        <f t="shared" si="143"/>
        <v>0</v>
      </c>
    </row>
    <row r="782" spans="1:20" ht="22.2" hidden="1" customHeight="1">
      <c r="A782" s="1444">
        <f>COUNTIF($C$12:C782,"x")</f>
        <v>41</v>
      </c>
      <c r="B782" s="1451" t="s">
        <v>2169</v>
      </c>
      <c r="C782" s="966" t="str">
        <f t="shared" si="144"/>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3"/>
        <v>0</v>
      </c>
    </row>
    <row r="783" spans="1:20" ht="22.2" hidden="1" customHeight="1">
      <c r="A783" s="1444">
        <f>COUNTIF($C$12:C783,"x")</f>
        <v>41</v>
      </c>
      <c r="B783" s="1453" t="s">
        <v>302</v>
      </c>
      <c r="C783" s="966" t="str">
        <f t="shared" si="144"/>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2" hidden="1" customHeight="1">
      <c r="A784" s="1444">
        <f>COUNTIF($C$12:C784,"x")</f>
        <v>41</v>
      </c>
      <c r="B784" s="1451" t="s">
        <v>107</v>
      </c>
      <c r="C784" s="966" t="str">
        <f t="shared" si="144"/>
        <v xml:space="preserve"> </v>
      </c>
      <c r="D784" s="1411">
        <v>1</v>
      </c>
      <c r="E784" s="976"/>
      <c r="F784" s="988" t="str">
        <f>VLOOKUP($B784,DG!A:D,DG!$C$2,)</f>
        <v>Trụ BTLT 14m F650 dự ứng lực</v>
      </c>
      <c r="G784" s="976" t="str">
        <f>VLOOKUP($B784,DG!A:D,DG!$D$2,)</f>
        <v>trụ</v>
      </c>
      <c r="H784" s="1689">
        <f t="shared" ref="H784:R789" si="150">H$783*$D784</f>
        <v>0</v>
      </c>
      <c r="I784" s="1689">
        <f t="shared" si="150"/>
        <v>0</v>
      </c>
      <c r="J784" s="1689">
        <f t="shared" si="150"/>
        <v>0</v>
      </c>
      <c r="K784" s="1689">
        <f t="shared" si="150"/>
        <v>0</v>
      </c>
      <c r="L784" s="1689">
        <f t="shared" si="150"/>
        <v>0</v>
      </c>
      <c r="M784" s="1689">
        <f t="shared" si="150"/>
        <v>0</v>
      </c>
      <c r="N784" s="1689">
        <f t="shared" si="150"/>
        <v>0</v>
      </c>
      <c r="O784" s="1689">
        <f t="shared" si="150"/>
        <v>0</v>
      </c>
      <c r="P784" s="1689">
        <f t="shared" si="150"/>
        <v>0</v>
      </c>
      <c r="Q784" s="1689">
        <f t="shared" si="150"/>
        <v>0</v>
      </c>
      <c r="R784" s="1689">
        <f t="shared" si="150"/>
        <v>0</v>
      </c>
      <c r="S784" s="985"/>
      <c r="T784" s="1858">
        <f t="shared" si="143"/>
        <v>0</v>
      </c>
    </row>
    <row r="785" spans="1:20" ht="22.2" hidden="1" customHeight="1">
      <c r="A785" s="1444">
        <f>COUNTIF($C$12:C785,"x")</f>
        <v>41</v>
      </c>
      <c r="B785" s="1451" t="s">
        <v>1814</v>
      </c>
      <c r="C785" s="966" t="str">
        <f t="shared" si="144"/>
        <v xml:space="preserve"> </v>
      </c>
      <c r="D785" s="1411"/>
      <c r="E785" s="976"/>
      <c r="F785" s="988" t="str">
        <f>VLOOKUP($B785,DG!A:D,DG!$C$2,)</f>
        <v>Vật liệu dựng trụ</v>
      </c>
      <c r="G785" s="976" t="str">
        <f>VLOOKUP($B785,DG!A:D,DG!$D$2,)</f>
        <v>trụ</v>
      </c>
      <c r="H785" s="1689">
        <f t="shared" si="150"/>
        <v>0</v>
      </c>
      <c r="I785" s="1689">
        <f t="shared" si="150"/>
        <v>0</v>
      </c>
      <c r="J785" s="1689">
        <f t="shared" si="150"/>
        <v>0</v>
      </c>
      <c r="K785" s="1689">
        <f t="shared" si="150"/>
        <v>0</v>
      </c>
      <c r="L785" s="1689">
        <f t="shared" si="150"/>
        <v>0</v>
      </c>
      <c r="M785" s="1689">
        <f t="shared" si="150"/>
        <v>0</v>
      </c>
      <c r="N785" s="1689">
        <f t="shared" si="150"/>
        <v>0</v>
      </c>
      <c r="O785" s="1689">
        <f t="shared" si="150"/>
        <v>0</v>
      </c>
      <c r="P785" s="1689">
        <f t="shared" si="150"/>
        <v>0</v>
      </c>
      <c r="Q785" s="1689">
        <f t="shared" si="150"/>
        <v>0</v>
      </c>
      <c r="R785" s="1689">
        <f t="shared" si="150"/>
        <v>0</v>
      </c>
      <c r="S785" s="985"/>
      <c r="T785" s="1858">
        <f t="shared" si="143"/>
        <v>0</v>
      </c>
    </row>
    <row r="786" spans="1:20" ht="22.2" hidden="1" customHeight="1">
      <c r="A786" s="1444">
        <f>COUNTIF($C$12:C786,"x")</f>
        <v>41</v>
      </c>
      <c r="B786" s="1451" t="s">
        <v>1659</v>
      </c>
      <c r="C786" s="966" t="str">
        <f t="shared" si="144"/>
        <v xml:space="preserve"> </v>
      </c>
      <c r="D786" s="1411">
        <v>1</v>
      </c>
      <c r="E786" s="976" t="str">
        <f>VLOOKUP($B786,DG!A:D,DG!$B$2,)</f>
        <v>05.5224</v>
      </c>
      <c r="F786" s="988" t="str">
        <f>VLOOKUP($B786,DG!A:D,DG!$C$2,)</f>
        <v>Dựng trụ BTLT 14m thủ công + cơ giới</v>
      </c>
      <c r="G786" s="976" t="str">
        <f>VLOOKUP($B786,DG!A:D,DG!$D$2,)</f>
        <v>trụ</v>
      </c>
      <c r="H786" s="1689">
        <f t="shared" si="150"/>
        <v>0</v>
      </c>
      <c r="I786" s="1689">
        <f t="shared" si="150"/>
        <v>0</v>
      </c>
      <c r="J786" s="1689">
        <f t="shared" si="150"/>
        <v>0</v>
      </c>
      <c r="K786" s="1689">
        <f t="shared" si="150"/>
        <v>0</v>
      </c>
      <c r="L786" s="1689">
        <f t="shared" si="150"/>
        <v>0</v>
      </c>
      <c r="M786" s="1689">
        <f t="shared" si="150"/>
        <v>0</v>
      </c>
      <c r="N786" s="1689">
        <f t="shared" si="150"/>
        <v>0</v>
      </c>
      <c r="O786" s="1689">
        <f t="shared" si="150"/>
        <v>0</v>
      </c>
      <c r="P786" s="1689">
        <f t="shared" si="150"/>
        <v>0</v>
      </c>
      <c r="Q786" s="1689">
        <f t="shared" si="150"/>
        <v>0</v>
      </c>
      <c r="R786" s="1689">
        <f t="shared" si="150"/>
        <v>0</v>
      </c>
      <c r="S786" s="990"/>
      <c r="T786" s="1858">
        <f t="shared" si="143"/>
        <v>0</v>
      </c>
    </row>
    <row r="787" spans="1:20" ht="22.2" hidden="1" customHeight="1">
      <c r="A787" s="1444">
        <f>COUNTIF($C$12:C787,"x")</f>
        <v>41</v>
      </c>
      <c r="B787" s="1451" t="s">
        <v>1198</v>
      </c>
      <c r="C787" s="966" t="str">
        <f t="shared" si="144"/>
        <v xml:space="preserve"> </v>
      </c>
      <c r="D787" s="1410"/>
      <c r="E787" s="976" t="str">
        <f>VLOOKUP($B787,DG!A:D,DG!$B$2,)</f>
        <v>02.1124</v>
      </c>
      <c r="F787" s="981" t="str">
        <f>VLOOKUP($B787,DG!A:D,DG!$C$2,)</f>
        <v xml:space="preserve">Bốc dỡ trụ </v>
      </c>
      <c r="G787" s="976" t="str">
        <f>VLOOKUP($B787,DG!A:D,DG!$D$2,)</f>
        <v>tấn</v>
      </c>
      <c r="H787" s="1689">
        <f t="shared" si="150"/>
        <v>0</v>
      </c>
      <c r="I787" s="1689">
        <f t="shared" si="150"/>
        <v>0</v>
      </c>
      <c r="J787" s="1689">
        <f t="shared" si="150"/>
        <v>0</v>
      </c>
      <c r="K787" s="1689">
        <f t="shared" si="150"/>
        <v>0</v>
      </c>
      <c r="L787" s="1689">
        <f t="shared" si="150"/>
        <v>0</v>
      </c>
      <c r="M787" s="1689">
        <f t="shared" si="150"/>
        <v>0</v>
      </c>
      <c r="N787" s="1689">
        <f t="shared" si="150"/>
        <v>0</v>
      </c>
      <c r="O787" s="1689">
        <f t="shared" si="150"/>
        <v>0</v>
      </c>
      <c r="P787" s="1689">
        <f t="shared" si="150"/>
        <v>0</v>
      </c>
      <c r="Q787" s="1689">
        <f t="shared" si="150"/>
        <v>0</v>
      </c>
      <c r="R787" s="1689">
        <f t="shared" si="150"/>
        <v>0</v>
      </c>
      <c r="S787" s="990"/>
      <c r="T787" s="1858">
        <f t="shared" si="143"/>
        <v>0</v>
      </c>
    </row>
    <row r="788" spans="1:20" ht="22.2" hidden="1" customHeight="1">
      <c r="A788" s="1444">
        <f>COUNTIF($C$12:C788,"x")</f>
        <v>41</v>
      </c>
      <c r="B788" s="1460" t="s">
        <v>1199</v>
      </c>
      <c r="C788" s="966" t="str">
        <f t="shared" si="144"/>
        <v xml:space="preserve"> </v>
      </c>
      <c r="D788" s="1410"/>
      <c r="E788" s="976" t="str">
        <f>VLOOKUP($B788,DG!A:C,2,)</f>
        <v>02.1461</v>
      </c>
      <c r="F788" s="981" t="str">
        <f>VLOOKUP($B788,DG!A:C,3,)</f>
        <v>V/c cột vào vị trí (cự ly &lt;=100m)</v>
      </c>
      <c r="G788" s="976" t="str">
        <f>VLOOKUP($B788,DG!A:D,4,0)</f>
        <v>tấn</v>
      </c>
      <c r="H788" s="1689">
        <f t="shared" si="150"/>
        <v>0</v>
      </c>
      <c r="I788" s="1689">
        <f t="shared" si="150"/>
        <v>0</v>
      </c>
      <c r="J788" s="1689">
        <f t="shared" si="150"/>
        <v>0</v>
      </c>
      <c r="K788" s="1689">
        <f t="shared" si="150"/>
        <v>0</v>
      </c>
      <c r="L788" s="1689">
        <f t="shared" si="150"/>
        <v>0</v>
      </c>
      <c r="M788" s="1689">
        <f t="shared" si="150"/>
        <v>0</v>
      </c>
      <c r="N788" s="1689">
        <f t="shared" si="150"/>
        <v>0</v>
      </c>
      <c r="O788" s="1689">
        <f t="shared" si="150"/>
        <v>0</v>
      </c>
      <c r="P788" s="1689">
        <f t="shared" si="150"/>
        <v>0</v>
      </c>
      <c r="Q788" s="1689">
        <f t="shared" si="150"/>
        <v>0</v>
      </c>
      <c r="R788" s="1689">
        <f t="shared" si="150"/>
        <v>0</v>
      </c>
      <c r="S788" s="990"/>
      <c r="T788" s="1858">
        <f t="shared" si="143"/>
        <v>0</v>
      </c>
    </row>
    <row r="789" spans="1:20" ht="22.2" hidden="1" customHeight="1">
      <c r="A789" s="1444">
        <f>COUNTIF($C$12:C789,"x")</f>
        <v>41</v>
      </c>
      <c r="B789" s="1460" t="s">
        <v>635</v>
      </c>
      <c r="C789" s="966" t="str">
        <f t="shared" si="144"/>
        <v xml:space="preserve"> </v>
      </c>
      <c r="D789" s="1410"/>
      <c r="E789" s="976" t="str">
        <f>VLOOKUP($B789,DG!A:C,2,)</f>
        <v>02.1482</v>
      </c>
      <c r="F789" s="981" t="str">
        <f>VLOOKUP($B789,DG!A:C,3,)</f>
        <v>V/c dụng cụ thi công vào vị trí (cự ly &lt;=100m)</v>
      </c>
      <c r="G789" s="976" t="str">
        <f>VLOOKUP($B789,DG!A:D,4,0)</f>
        <v>tấn</v>
      </c>
      <c r="H789" s="1689">
        <f t="shared" si="150"/>
        <v>0</v>
      </c>
      <c r="I789" s="1689">
        <f t="shared" si="150"/>
        <v>0</v>
      </c>
      <c r="J789" s="1689">
        <f t="shared" si="150"/>
        <v>0</v>
      </c>
      <c r="K789" s="1689">
        <f t="shared" si="150"/>
        <v>0</v>
      </c>
      <c r="L789" s="1689">
        <f t="shared" si="150"/>
        <v>0</v>
      </c>
      <c r="M789" s="1689">
        <f t="shared" si="150"/>
        <v>0</v>
      </c>
      <c r="N789" s="1689">
        <f t="shared" si="150"/>
        <v>0</v>
      </c>
      <c r="O789" s="1689">
        <f t="shared" si="150"/>
        <v>0</v>
      </c>
      <c r="P789" s="1689">
        <f t="shared" si="150"/>
        <v>0</v>
      </c>
      <c r="Q789" s="1689">
        <f t="shared" si="150"/>
        <v>0</v>
      </c>
      <c r="R789" s="1689">
        <f t="shared" si="150"/>
        <v>0</v>
      </c>
      <c r="S789" s="990"/>
      <c r="T789" s="1858">
        <f t="shared" si="143"/>
        <v>0</v>
      </c>
    </row>
    <row r="790" spans="1:20" ht="22.2" hidden="1" customHeight="1">
      <c r="A790" s="1444">
        <f>COUNTIF($C$12:C790,"x")</f>
        <v>41</v>
      </c>
      <c r="B790" s="1453" t="s">
        <v>759</v>
      </c>
      <c r="C790" s="966" t="str">
        <f t="shared" si="144"/>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2" hidden="1" customHeight="1">
      <c r="A791" s="1444">
        <f>COUNTIF($C$12:C791,"x")</f>
        <v>41</v>
      </c>
      <c r="B791" s="1451" t="s">
        <v>2091</v>
      </c>
      <c r="C791" s="966" t="str">
        <f t="shared" si="144"/>
        <v xml:space="preserve"> </v>
      </c>
      <c r="D791" s="1411">
        <v>1</v>
      </c>
      <c r="E791" s="976"/>
      <c r="F791" s="988" t="str">
        <f>VLOOKUP($B791,DG!A:D,DG!$C$2,)</f>
        <v>Trụ BTLT 20m F1000 dự ứng lực</v>
      </c>
      <c r="G791" s="976" t="str">
        <f>VLOOKUP($B791,DG!A:D,DG!$D$2,)</f>
        <v>trụ</v>
      </c>
      <c r="H791" s="1689">
        <f t="shared" ref="H791:J792" si="151">H$790*$D791</f>
        <v>0</v>
      </c>
      <c r="I791" s="1689">
        <f t="shared" si="151"/>
        <v>0</v>
      </c>
      <c r="J791" s="1689">
        <f t="shared" si="151"/>
        <v>0</v>
      </c>
      <c r="K791" s="1689">
        <f>K$783*$D791</f>
        <v>0</v>
      </c>
      <c r="L791" s="1689">
        <f>L$783*$D791</f>
        <v>0</v>
      </c>
      <c r="M791" s="1689"/>
      <c r="N791" s="1689"/>
      <c r="O791" s="1689"/>
      <c r="P791" s="1689"/>
      <c r="Q791" s="985"/>
      <c r="R791" s="985"/>
      <c r="S791" s="985"/>
      <c r="T791" s="1858">
        <f t="shared" si="143"/>
        <v>0</v>
      </c>
    </row>
    <row r="792" spans="1:20" ht="22.2" hidden="1" customHeight="1">
      <c r="A792" s="1444">
        <f>COUNTIF($C$12:C792,"x")</f>
        <v>41</v>
      </c>
      <c r="B792" s="1451" t="s">
        <v>1814</v>
      </c>
      <c r="C792" s="966" t="str">
        <f t="shared" si="144"/>
        <v xml:space="preserve"> </v>
      </c>
      <c r="D792" s="1411">
        <v>1</v>
      </c>
      <c r="E792" s="976"/>
      <c r="F792" s="988" t="str">
        <f>VLOOKUP($B792,DG!A:D,DG!$C$2,)</f>
        <v>Vật liệu dựng trụ</v>
      </c>
      <c r="G792" s="976" t="str">
        <f>VLOOKUP($B792,DG!A:D,DG!$D$2,)</f>
        <v>trụ</v>
      </c>
      <c r="H792" s="1689">
        <f t="shared" si="151"/>
        <v>0</v>
      </c>
      <c r="I792" s="1689">
        <f t="shared" si="151"/>
        <v>0</v>
      </c>
      <c r="J792" s="1689">
        <f t="shared" si="151"/>
        <v>0</v>
      </c>
      <c r="K792" s="1689">
        <f>K$783*$D792</f>
        <v>0</v>
      </c>
      <c r="L792" s="1689">
        <f>L$783*$D792</f>
        <v>0</v>
      </c>
      <c r="M792" s="1689"/>
      <c r="N792" s="1689"/>
      <c r="O792" s="1689"/>
      <c r="P792" s="1689"/>
      <c r="Q792" s="985"/>
      <c r="R792" s="985"/>
      <c r="S792" s="985"/>
      <c r="T792" s="1858">
        <f t="shared" si="143"/>
        <v>0</v>
      </c>
    </row>
    <row r="793" spans="1:20" ht="22.2" hidden="1" customHeight="1">
      <c r="A793" s="1444">
        <f>COUNTIF($C$12:C793,"x")</f>
        <v>41</v>
      </c>
      <c r="B793" s="1451" t="s">
        <v>1661</v>
      </c>
      <c r="C793" s="966" t="str">
        <f t="shared" si="144"/>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3"/>
        <v>0</v>
      </c>
    </row>
    <row r="794" spans="1:20" ht="22.2" hidden="1" customHeight="1">
      <c r="A794" s="1444">
        <f>COUNTIF($C$12:C794,"x")</f>
        <v>41</v>
      </c>
      <c r="B794" s="1451" t="s">
        <v>1198</v>
      </c>
      <c r="C794" s="966" t="str">
        <f t="shared" si="144"/>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3"/>
        <v>0</v>
      </c>
    </row>
    <row r="795" spans="1:20" ht="22.2" hidden="1" customHeight="1">
      <c r="A795" s="1444">
        <f>COUNTIF($C$12:C795,"x")</f>
        <v>41</v>
      </c>
      <c r="B795" s="1460" t="s">
        <v>1199</v>
      </c>
      <c r="C795" s="966" t="str">
        <f t="shared" si="144"/>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3"/>
        <v>0</v>
      </c>
    </row>
    <row r="796" spans="1:20" ht="22.2" hidden="1" customHeight="1">
      <c r="A796" s="1444">
        <f>COUNTIF($C$12:C796,"x")</f>
        <v>41</v>
      </c>
      <c r="B796" s="1460" t="s">
        <v>635</v>
      </c>
      <c r="C796" s="966" t="str">
        <f t="shared" si="144"/>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3"/>
        <v>0</v>
      </c>
    </row>
    <row r="797" spans="1:20" ht="22.2" hidden="1" customHeight="1">
      <c r="A797" s="1444">
        <f>COUNTIF($C$12:C797,"x")</f>
        <v>41</v>
      </c>
      <c r="B797" s="1448">
        <v>0</v>
      </c>
      <c r="C797" s="966" t="str">
        <f>IF(SUM(I797:O797)&gt;0,"x"," ")</f>
        <v xml:space="preserve"> </v>
      </c>
      <c r="D797" s="1423">
        <f>SUM(H797:N797)+S797</f>
        <v>0</v>
      </c>
      <c r="E797" s="978" t="s">
        <v>1615</v>
      </c>
      <c r="F797" s="1272" t="s">
        <v>2290</v>
      </c>
      <c r="G797" s="977"/>
      <c r="H797" s="1687"/>
      <c r="I797" s="1688">
        <f t="shared" ref="I797:O797" si="152">SUM(I798:I1501)</f>
        <v>0</v>
      </c>
      <c r="J797" s="1688">
        <f t="shared" si="152"/>
        <v>0</v>
      </c>
      <c r="K797" s="1688">
        <f t="shared" si="152"/>
        <v>0</v>
      </c>
      <c r="L797" s="1688">
        <f t="shared" si="152"/>
        <v>0</v>
      </c>
      <c r="M797" s="1688">
        <f t="shared" si="152"/>
        <v>0</v>
      </c>
      <c r="N797" s="1688">
        <f t="shared" si="152"/>
        <v>0</v>
      </c>
      <c r="O797" s="1688">
        <f t="shared" si="152"/>
        <v>0</v>
      </c>
      <c r="P797" s="2663">
        <f>T797</f>
        <v>0</v>
      </c>
      <c r="Q797" s="2666">
        <f>IF(P797&gt;H797,P797-H797,0)</f>
        <v>0</v>
      </c>
      <c r="R797" s="979">
        <f>IF(H797&gt;P797,H797-P797,0)</f>
        <v>0</v>
      </c>
      <c r="S797" s="977"/>
      <c r="T797" s="1858">
        <f>IFERROR(HLOOKUP(B797,pp1p!$1:$3,3,0),0)+IFERROR(HLOOKUP(B797,pp3p1m!$1:$3,3,0),0)</f>
        <v>0</v>
      </c>
    </row>
    <row r="798" spans="1:20" ht="22.2" hidden="1" customHeight="1">
      <c r="A798" s="1444">
        <f>COUNTIF($C$12:C798,"x")</f>
        <v>41</v>
      </c>
      <c r="B798" s="1448" t="s">
        <v>2309</v>
      </c>
      <c r="C798" s="966" t="str">
        <f t="shared" si="144"/>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2" hidden="1" customHeight="1">
      <c r="A799" s="1444">
        <f>COUNTIF($C$12:C799,"x")</f>
        <v>41</v>
      </c>
      <c r="B799" s="1451" t="s">
        <v>4686</v>
      </c>
      <c r="C799" s="966" t="str">
        <f t="shared" si="144"/>
        <v xml:space="preserve"> </v>
      </c>
      <c r="D799" s="1410">
        <v>1</v>
      </c>
      <c r="E799" s="976"/>
      <c r="F799" s="988" t="str">
        <f>VLOOKUP($B799,DG!A:D,DG!$C$2,)</f>
        <v>Đà 1,66m X-16Đ</v>
      </c>
      <c r="G799" s="976" t="str">
        <f>VLOOKUP($B799,DG!A:D,DG!$D$2,)</f>
        <v>Cái</v>
      </c>
      <c r="H799" s="1689">
        <f>H$798*$D799</f>
        <v>0</v>
      </c>
      <c r="I799" s="1921">
        <f t="shared" ref="I799:O799" si="153">I$798*$D799</f>
        <v>0</v>
      </c>
      <c r="J799" s="1921">
        <f t="shared" si="153"/>
        <v>0</v>
      </c>
      <c r="K799" s="1921">
        <f t="shared" si="153"/>
        <v>0</v>
      </c>
      <c r="L799" s="1921">
        <f t="shared" si="153"/>
        <v>0</v>
      </c>
      <c r="M799" s="1921">
        <f t="shared" si="153"/>
        <v>0</v>
      </c>
      <c r="N799" s="1921">
        <f t="shared" si="153"/>
        <v>0</v>
      </c>
      <c r="O799" s="1921">
        <f t="shared" si="153"/>
        <v>0</v>
      </c>
      <c r="P799" s="1689">
        <f>P$798*$D799</f>
        <v>0</v>
      </c>
      <c r="Q799" s="1921"/>
      <c r="R799" s="1921"/>
      <c r="S799" s="985"/>
      <c r="T799" s="1858">
        <f t="shared" si="143"/>
        <v>0</v>
      </c>
    </row>
    <row r="800" spans="1:20" ht="22.2" hidden="1" customHeight="1">
      <c r="A800" s="1444">
        <f>COUNTIF($C$12:C800,"x")</f>
        <v>41</v>
      </c>
      <c r="B800" s="1451" t="s">
        <v>4682</v>
      </c>
      <c r="C800" s="966" t="str">
        <f t="shared" si="144"/>
        <v xml:space="preserve"> </v>
      </c>
      <c r="D800" s="1410">
        <v>2</v>
      </c>
      <c r="E800" s="976"/>
      <c r="F800" s="988" t="str">
        <f>VLOOKUP($B800,DG!A:D,DG!$C$2,)</f>
        <v>Thanh chống đà  810</v>
      </c>
      <c r="G800" s="976" t="str">
        <f>VLOOKUP($B800,DG!A:D,DG!$D$2,)</f>
        <v>cái</v>
      </c>
      <c r="H800" s="1689">
        <f t="shared" ref="H800:P807" si="154">H$798*$D800</f>
        <v>0</v>
      </c>
      <c r="I800" s="1921">
        <f t="shared" si="154"/>
        <v>0</v>
      </c>
      <c r="J800" s="1921">
        <f t="shared" si="154"/>
        <v>0</v>
      </c>
      <c r="K800" s="1921">
        <f t="shared" si="154"/>
        <v>0</v>
      </c>
      <c r="L800" s="1921">
        <f t="shared" si="154"/>
        <v>0</v>
      </c>
      <c r="M800" s="1921">
        <f t="shared" si="154"/>
        <v>0</v>
      </c>
      <c r="N800" s="1921">
        <f t="shared" si="154"/>
        <v>0</v>
      </c>
      <c r="O800" s="1921">
        <f t="shared" si="154"/>
        <v>0</v>
      </c>
      <c r="P800" s="1689">
        <f t="shared" si="154"/>
        <v>0</v>
      </c>
      <c r="Q800" s="1921"/>
      <c r="R800" s="1921"/>
      <c r="S800" s="985"/>
      <c r="T800" s="1858">
        <f t="shared" si="143"/>
        <v>0</v>
      </c>
    </row>
    <row r="801" spans="1:20" ht="22.2" hidden="1" customHeight="1">
      <c r="A801" s="1444">
        <f>COUNTIF($C$12:C801,"x")</f>
        <v>41</v>
      </c>
      <c r="B801" s="1451" t="s">
        <v>1266</v>
      </c>
      <c r="C801" s="966" t="str">
        <f t="shared" si="144"/>
        <v xml:space="preserve"> </v>
      </c>
      <c r="D801" s="1411">
        <v>1</v>
      </c>
      <c r="E801" s="976"/>
      <c r="F801" s="988" t="str">
        <f>VLOOKUP($B801,DG!A:D,DG!$C$2,)</f>
        <v>Chân sứ đỉnh thẳng dài 870mm</v>
      </c>
      <c r="G801" s="976" t="str">
        <f>VLOOKUP($B801,DG!A:D,DG!$D$2,)</f>
        <v>cái</v>
      </c>
      <c r="H801" s="1689">
        <f t="shared" si="154"/>
        <v>0</v>
      </c>
      <c r="I801" s="1921">
        <f t="shared" si="154"/>
        <v>0</v>
      </c>
      <c r="J801" s="1921">
        <f t="shared" si="154"/>
        <v>0</v>
      </c>
      <c r="K801" s="1921">
        <f t="shared" si="154"/>
        <v>0</v>
      </c>
      <c r="L801" s="1921">
        <f t="shared" si="154"/>
        <v>0</v>
      </c>
      <c r="M801" s="1921">
        <f t="shared" si="154"/>
        <v>0</v>
      </c>
      <c r="N801" s="1921">
        <f t="shared" si="154"/>
        <v>0</v>
      </c>
      <c r="O801" s="1921">
        <f t="shared" si="154"/>
        <v>0</v>
      </c>
      <c r="P801" s="1689">
        <f t="shared" si="154"/>
        <v>0</v>
      </c>
      <c r="Q801" s="1921"/>
      <c r="R801" s="1921"/>
      <c r="S801" s="985"/>
      <c r="T801" s="1858">
        <f t="shared" si="143"/>
        <v>0</v>
      </c>
    </row>
    <row r="802" spans="1:20" ht="22.2" hidden="1" customHeight="1">
      <c r="A802" s="1444">
        <f>COUNTIF($C$12:C802,"x")</f>
        <v>41</v>
      </c>
      <c r="B802" s="1451" t="s">
        <v>1609</v>
      </c>
      <c r="C802" s="966" t="str">
        <f t="shared" si="144"/>
        <v xml:space="preserve"> </v>
      </c>
      <c r="D802" s="1411">
        <v>4</v>
      </c>
      <c r="E802" s="976"/>
      <c r="F802" s="988" t="str">
        <f>VLOOKUP($B802,DG!A:D,DG!$C$2,)</f>
        <v>Boulon 16x250+ 2 long đền vuông D18-50x50x3/Zn</v>
      </c>
      <c r="G802" s="976" t="str">
        <f>VLOOKUP($B802,DG!A:D,DG!$D$2,)</f>
        <v>bộ</v>
      </c>
      <c r="H802" s="1689">
        <f t="shared" si="154"/>
        <v>0</v>
      </c>
      <c r="I802" s="1921">
        <f t="shared" si="154"/>
        <v>0</v>
      </c>
      <c r="J802" s="1921">
        <f t="shared" si="154"/>
        <v>0</v>
      </c>
      <c r="K802" s="1921">
        <f t="shared" si="154"/>
        <v>0</v>
      </c>
      <c r="L802" s="1921">
        <f t="shared" si="154"/>
        <v>0</v>
      </c>
      <c r="M802" s="1921">
        <f t="shared" si="154"/>
        <v>0</v>
      </c>
      <c r="N802" s="1921">
        <f t="shared" si="154"/>
        <v>0</v>
      </c>
      <c r="O802" s="1921">
        <f t="shared" si="154"/>
        <v>0</v>
      </c>
      <c r="P802" s="1689">
        <f t="shared" si="154"/>
        <v>0</v>
      </c>
      <c r="Q802" s="1921"/>
      <c r="R802" s="1921"/>
      <c r="S802" s="985"/>
      <c r="T802" s="1858">
        <f t="shared" si="143"/>
        <v>0</v>
      </c>
    </row>
    <row r="803" spans="1:20" ht="22.2" hidden="1" customHeight="1">
      <c r="A803" s="1444">
        <f>COUNTIF($C$12:C803,"x")</f>
        <v>41</v>
      </c>
      <c r="B803" s="1451" t="s">
        <v>1786</v>
      </c>
      <c r="C803" s="966" t="str">
        <f t="shared" si="144"/>
        <v xml:space="preserve"> </v>
      </c>
      <c r="D803" s="1411">
        <v>2</v>
      </c>
      <c r="E803" s="976"/>
      <c r="F803" s="988" t="str">
        <f>VLOOKUP($B803,DG!A:D,DG!$C$2,)</f>
        <v>Boulon 16x50+ 2 long đền vuông D18-50x50x3/Zn</v>
      </c>
      <c r="G803" s="976" t="str">
        <f>VLOOKUP($B803,DG!A:D,DG!$D$2,)</f>
        <v>bộ</v>
      </c>
      <c r="H803" s="1689">
        <f t="shared" si="154"/>
        <v>0</v>
      </c>
      <c r="I803" s="1921">
        <f t="shared" si="154"/>
        <v>0</v>
      </c>
      <c r="J803" s="1921">
        <f t="shared" si="154"/>
        <v>0</v>
      </c>
      <c r="K803" s="1921">
        <f t="shared" si="154"/>
        <v>0</v>
      </c>
      <c r="L803" s="1921">
        <f t="shared" si="154"/>
        <v>0</v>
      </c>
      <c r="M803" s="1921">
        <f t="shared" si="154"/>
        <v>0</v>
      </c>
      <c r="N803" s="1921">
        <f t="shared" si="154"/>
        <v>0</v>
      </c>
      <c r="O803" s="1921">
        <f t="shared" si="154"/>
        <v>0</v>
      </c>
      <c r="P803" s="1689">
        <f t="shared" si="154"/>
        <v>0</v>
      </c>
      <c r="Q803" s="1921"/>
      <c r="R803" s="1921"/>
      <c r="S803" s="985"/>
      <c r="T803" s="1858">
        <f t="shared" si="143"/>
        <v>0</v>
      </c>
    </row>
    <row r="804" spans="1:20" ht="22.2" hidden="1" customHeight="1">
      <c r="A804" s="1444">
        <f>COUNTIF($C$12:C804,"x")</f>
        <v>41</v>
      </c>
      <c r="B804" s="1451" t="s">
        <v>1995</v>
      </c>
      <c r="C804" s="966" t="str">
        <f t="shared" si="144"/>
        <v xml:space="preserve"> </v>
      </c>
      <c r="D804" s="1411">
        <v>1</v>
      </c>
      <c r="E804" s="980" t="str">
        <f>VLOOKUP($B804,DG!A:D,DG!$B$2,)</f>
        <v>05.6401</v>
      </c>
      <c r="F804" s="981" t="str">
        <f>VLOOKUP($B804,DG!A:D,DG!$C$2,)</f>
        <v>Lắp xà đỡ ≤ 25kg</v>
      </c>
      <c r="G804" s="976" t="str">
        <f>VLOOKUP($B804,DG!A:D,DG!$D$2,)</f>
        <v>bộ</v>
      </c>
      <c r="H804" s="1689">
        <f t="shared" si="154"/>
        <v>0</v>
      </c>
      <c r="I804" s="1921">
        <f t="shared" si="154"/>
        <v>0</v>
      </c>
      <c r="J804" s="1921">
        <f t="shared" si="154"/>
        <v>0</v>
      </c>
      <c r="K804" s="1921">
        <f t="shared" si="154"/>
        <v>0</v>
      </c>
      <c r="L804" s="1921">
        <f t="shared" si="154"/>
        <v>0</v>
      </c>
      <c r="M804" s="1921">
        <f t="shared" si="154"/>
        <v>0</v>
      </c>
      <c r="N804" s="1921">
        <f t="shared" si="154"/>
        <v>0</v>
      </c>
      <c r="O804" s="1921">
        <f t="shared" si="154"/>
        <v>0</v>
      </c>
      <c r="P804" s="1689">
        <f t="shared" si="154"/>
        <v>0</v>
      </c>
      <c r="Q804" s="1921"/>
      <c r="R804" s="1921"/>
      <c r="S804" s="990"/>
      <c r="T804" s="1858">
        <f t="shared" si="143"/>
        <v>0</v>
      </c>
    </row>
    <row r="805" spans="1:20" ht="22.2" hidden="1" customHeight="1">
      <c r="A805" s="1444">
        <f>COUNTIF($C$12:C805,"x")</f>
        <v>41</v>
      </c>
      <c r="B805" s="1451" t="s">
        <v>1996</v>
      </c>
      <c r="C805" s="966" t="str">
        <f t="shared" si="144"/>
        <v xml:space="preserve"> </v>
      </c>
      <c r="D805" s="1409"/>
      <c r="E805" s="976" t="str">
        <f>VLOOKUP($B805,DG!A:D,DG!$B$2,)</f>
        <v>02.1115</v>
      </c>
      <c r="F805" s="981" t="str">
        <f>VLOOKUP($B805,DG!A:D,DG!$C$2,)</f>
        <v>Bốc dỡ xà, thép thanh</v>
      </c>
      <c r="G805" s="976" t="str">
        <f>VLOOKUP($B805,DG!A:D,DG!$D$2,)</f>
        <v>tấn</v>
      </c>
      <c r="H805" s="1921">
        <f t="shared" si="154"/>
        <v>0</v>
      </c>
      <c r="I805" s="1921">
        <f t="shared" si="154"/>
        <v>0</v>
      </c>
      <c r="J805" s="1921">
        <f t="shared" si="154"/>
        <v>0</v>
      </c>
      <c r="K805" s="1921">
        <f t="shared" si="154"/>
        <v>0</v>
      </c>
      <c r="L805" s="1921">
        <f t="shared" si="154"/>
        <v>0</v>
      </c>
      <c r="M805" s="1921">
        <f t="shared" si="154"/>
        <v>0</v>
      </c>
      <c r="N805" s="1921">
        <f t="shared" si="154"/>
        <v>0</v>
      </c>
      <c r="O805" s="1921">
        <f t="shared" si="154"/>
        <v>0</v>
      </c>
      <c r="P805" s="1921"/>
      <c r="Q805" s="1921"/>
      <c r="R805" s="1921"/>
      <c r="S805" s="990"/>
      <c r="T805" s="1858">
        <f t="shared" si="143"/>
        <v>0</v>
      </c>
    </row>
    <row r="806" spans="1:20" ht="22.2" hidden="1" customHeight="1">
      <c r="A806" s="1444">
        <f>COUNTIF($C$12:C806,"x")</f>
        <v>41</v>
      </c>
      <c r="B806" s="1460" t="s">
        <v>1997</v>
      </c>
      <c r="C806" s="966" t="str">
        <f t="shared" si="144"/>
        <v xml:space="preserve"> </v>
      </c>
      <c r="D806" s="1409"/>
      <c r="E806" s="976" t="str">
        <f>VLOOKUP($B806,DG!A:C,2,)</f>
        <v>02.1361</v>
      </c>
      <c r="F806" s="981" t="str">
        <f>VLOOKUP($B806,DG!A:C,3,)</f>
        <v>V/c xà vào vị trí (cư ly &lt;=100m)</v>
      </c>
      <c r="G806" s="976" t="str">
        <f>VLOOKUP($B806,DG!A:D,4,0)</f>
        <v>tấn</v>
      </c>
      <c r="H806" s="1921">
        <f t="shared" si="154"/>
        <v>0</v>
      </c>
      <c r="I806" s="1921">
        <f t="shared" si="154"/>
        <v>0</v>
      </c>
      <c r="J806" s="1921">
        <f t="shared" si="154"/>
        <v>0</v>
      </c>
      <c r="K806" s="1921">
        <f t="shared" si="154"/>
        <v>0</v>
      </c>
      <c r="L806" s="1921">
        <f t="shared" si="154"/>
        <v>0</v>
      </c>
      <c r="M806" s="1921">
        <f t="shared" si="154"/>
        <v>0</v>
      </c>
      <c r="N806" s="1921">
        <f t="shared" si="154"/>
        <v>0</v>
      </c>
      <c r="O806" s="1921">
        <f t="shared" si="154"/>
        <v>0</v>
      </c>
      <c r="P806" s="1921"/>
      <c r="Q806" s="1921"/>
      <c r="R806" s="1921"/>
      <c r="S806" s="990"/>
      <c r="T806" s="1858">
        <f t="shared" si="143"/>
        <v>0</v>
      </c>
    </row>
    <row r="807" spans="1:20" ht="22.2" hidden="1" customHeight="1">
      <c r="A807" s="1444">
        <f>COUNTIF($C$12:C807,"x")</f>
        <v>41</v>
      </c>
      <c r="B807" s="1460" t="s">
        <v>635</v>
      </c>
      <c r="C807" s="966" t="str">
        <f t="shared" si="144"/>
        <v xml:space="preserve"> </v>
      </c>
      <c r="D807" s="1410"/>
      <c r="E807" s="976" t="str">
        <f>VLOOKUP($B807,DG!A:C,2,)</f>
        <v>02.1482</v>
      </c>
      <c r="F807" s="981" t="str">
        <f>VLOOKUP($B807,DG!A:C,3,)</f>
        <v>V/c dụng cụ thi công vào vị trí (cự ly &lt;=100m)</v>
      </c>
      <c r="G807" s="976" t="str">
        <f>VLOOKUP($B807,DG!A:D,4,0)</f>
        <v>tấn</v>
      </c>
      <c r="H807" s="1921">
        <f t="shared" si="154"/>
        <v>0</v>
      </c>
      <c r="I807" s="1921">
        <f t="shared" si="154"/>
        <v>0</v>
      </c>
      <c r="J807" s="1921">
        <f t="shared" si="154"/>
        <v>0</v>
      </c>
      <c r="K807" s="1921">
        <f t="shared" si="154"/>
        <v>0</v>
      </c>
      <c r="L807" s="1921">
        <f t="shared" si="154"/>
        <v>0</v>
      </c>
      <c r="M807" s="1921">
        <f t="shared" si="154"/>
        <v>0</v>
      </c>
      <c r="N807" s="1921">
        <f t="shared" si="154"/>
        <v>0</v>
      </c>
      <c r="O807" s="1921">
        <f t="shared" si="154"/>
        <v>0</v>
      </c>
      <c r="P807" s="1921"/>
      <c r="Q807" s="1921"/>
      <c r="R807" s="1921"/>
      <c r="S807" s="990"/>
      <c r="T807" s="1858">
        <f t="shared" si="143"/>
        <v>0</v>
      </c>
    </row>
    <row r="808" spans="1:20" ht="22.2" hidden="1" customHeight="1">
      <c r="A808" s="1444">
        <f>COUNTIF($C$12:C808,"x")</f>
        <v>41</v>
      </c>
      <c r="B808" s="1448" t="s">
        <v>1291</v>
      </c>
      <c r="C808" s="966" t="str">
        <f t="shared" si="144"/>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2" hidden="1" customHeight="1">
      <c r="A809" s="1444">
        <f>COUNTIF($C$12:C809,"x")</f>
        <v>41</v>
      </c>
      <c r="B809" s="1451" t="s">
        <v>109</v>
      </c>
      <c r="C809" s="966" t="str">
        <f t="shared" si="144"/>
        <v xml:space="preserve"> </v>
      </c>
      <c r="D809" s="1410">
        <f>9.02*(1.66+0.07*2)*2</f>
        <v>32.471999999999994</v>
      </c>
      <c r="E809" s="976"/>
      <c r="F809" s="988" t="str">
        <f>VLOOKUP($B809,DG!A:D,DG!$C$2,)</f>
        <v>Sắt góc L75 x75 x8</v>
      </c>
      <c r="G809" s="976" t="str">
        <f>VLOOKUP($B809,DG!A:D,DG!$D$2,)</f>
        <v>kg</v>
      </c>
      <c r="H809" s="1689">
        <f>H$818*$D809</f>
        <v>0</v>
      </c>
      <c r="I809" s="1689">
        <f t="shared" ref="I809:O813" si="155">I$808*$D809</f>
        <v>0</v>
      </c>
      <c r="J809" s="1689">
        <f t="shared" si="155"/>
        <v>0</v>
      </c>
      <c r="K809" s="1689">
        <f t="shared" si="155"/>
        <v>0</v>
      </c>
      <c r="L809" s="1689">
        <f t="shared" si="155"/>
        <v>0</v>
      </c>
      <c r="M809" s="1689">
        <f t="shared" si="155"/>
        <v>0</v>
      </c>
      <c r="N809" s="1689">
        <f t="shared" si="155"/>
        <v>0</v>
      </c>
      <c r="O809" s="1689">
        <f t="shared" si="155"/>
        <v>0</v>
      </c>
      <c r="P809" s="1689"/>
      <c r="Q809" s="985"/>
      <c r="R809" s="985"/>
      <c r="S809" s="985"/>
      <c r="T809" s="1858">
        <f t="shared" si="143"/>
        <v>0</v>
      </c>
    </row>
    <row r="810" spans="1:20" ht="22.2" hidden="1" customHeight="1">
      <c r="A810" s="1444">
        <f>COUNTIF($C$12:C810,"x")</f>
        <v>41</v>
      </c>
      <c r="B810" s="1451" t="s">
        <v>457</v>
      </c>
      <c r="C810" s="966" t="str">
        <f t="shared" si="144"/>
        <v xml:space="preserve"> </v>
      </c>
      <c r="D810" s="1410">
        <f>3.77*0.81*4</f>
        <v>12.2148</v>
      </c>
      <c r="E810" s="976"/>
      <c r="F810" s="988" t="str">
        <f>VLOOKUP($B810,DG!A:D,DG!$C$2,)</f>
        <v>Sắt góc L50 x50 x5</v>
      </c>
      <c r="G810" s="976" t="str">
        <f>VLOOKUP($B810,DG!A:D,DG!$D$2,)</f>
        <v>kg</v>
      </c>
      <c r="H810" s="1689">
        <f>H$818*$D810</f>
        <v>0</v>
      </c>
      <c r="I810" s="1689">
        <f t="shared" si="155"/>
        <v>0</v>
      </c>
      <c r="J810" s="1689">
        <f t="shared" si="155"/>
        <v>0</v>
      </c>
      <c r="K810" s="1689">
        <f t="shared" si="155"/>
        <v>0</v>
      </c>
      <c r="L810" s="1689">
        <f t="shared" si="155"/>
        <v>0</v>
      </c>
      <c r="M810" s="1689">
        <f t="shared" si="155"/>
        <v>0</v>
      </c>
      <c r="N810" s="1689">
        <f t="shared" si="155"/>
        <v>0</v>
      </c>
      <c r="O810" s="1689">
        <f t="shared" si="155"/>
        <v>0</v>
      </c>
      <c r="P810" s="1689"/>
      <c r="Q810" s="985"/>
      <c r="R810" s="985"/>
      <c r="S810" s="985"/>
      <c r="T810" s="1858">
        <f t="shared" si="143"/>
        <v>0</v>
      </c>
    </row>
    <row r="811" spans="1:20" ht="22.2" hidden="1" customHeight="1">
      <c r="A811" s="1444">
        <f>COUNTIF($C$12:C811,"x")</f>
        <v>41</v>
      </c>
      <c r="B811" s="1451" t="s">
        <v>1609</v>
      </c>
      <c r="C811" s="966" t="str">
        <f t="shared" ref="C811:C874" si="156">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5"/>
        <v>0</v>
      </c>
      <c r="J811" s="1689">
        <f t="shared" si="155"/>
        <v>0</v>
      </c>
      <c r="K811" s="1689">
        <f t="shared" si="155"/>
        <v>0</v>
      </c>
      <c r="L811" s="1689">
        <f t="shared" si="155"/>
        <v>0</v>
      </c>
      <c r="M811" s="1689">
        <f t="shared" si="155"/>
        <v>0</v>
      </c>
      <c r="N811" s="1689">
        <f t="shared" si="155"/>
        <v>0</v>
      </c>
      <c r="O811" s="1689">
        <f t="shared" si="155"/>
        <v>0</v>
      </c>
      <c r="P811" s="1689"/>
      <c r="Q811" s="985"/>
      <c r="R811" s="985"/>
      <c r="S811" s="985"/>
      <c r="T811" s="1858">
        <f t="shared" si="143"/>
        <v>0</v>
      </c>
    </row>
    <row r="812" spans="1:20" ht="22.2" hidden="1" customHeight="1">
      <c r="A812" s="1444">
        <f>COUNTIF($C$12:C812,"x")</f>
        <v>41</v>
      </c>
      <c r="B812" s="1451" t="s">
        <v>1292</v>
      </c>
      <c r="C812" s="966" t="str">
        <f t="shared" si="156"/>
        <v xml:space="preserve"> </v>
      </c>
      <c r="D812" s="1411">
        <v>2</v>
      </c>
      <c r="E812" s="976"/>
      <c r="F812" s="988" t="str">
        <f>VLOOKUP($B812,DG!A:D,DG!$C$2,)</f>
        <v>Boulon 16x250VRS+ 4 long đền vuông D18-50x50x3/Zn</v>
      </c>
      <c r="G812" s="976" t="str">
        <f>VLOOKUP($B812,DG!A:D,DG!$D$2,)</f>
        <v>bộ</v>
      </c>
      <c r="H812" s="1689">
        <f>H$818*$D812</f>
        <v>0</v>
      </c>
      <c r="I812" s="1689">
        <f t="shared" si="155"/>
        <v>0</v>
      </c>
      <c r="J812" s="1689">
        <f t="shared" si="155"/>
        <v>0</v>
      </c>
      <c r="K812" s="1689">
        <f t="shared" si="155"/>
        <v>0</v>
      </c>
      <c r="L812" s="1689">
        <f t="shared" si="155"/>
        <v>0</v>
      </c>
      <c r="M812" s="1689">
        <f t="shared" si="155"/>
        <v>0</v>
      </c>
      <c r="N812" s="1689">
        <f t="shared" si="155"/>
        <v>0</v>
      </c>
      <c r="O812" s="1689">
        <f t="shared" si="155"/>
        <v>0</v>
      </c>
      <c r="P812" s="1689"/>
      <c r="Q812" s="985"/>
      <c r="R812" s="985"/>
      <c r="S812" s="985"/>
      <c r="T812" s="1858">
        <f t="shared" si="143"/>
        <v>0</v>
      </c>
    </row>
    <row r="813" spans="1:20" ht="22.2" hidden="1" customHeight="1">
      <c r="A813" s="1444">
        <f>COUNTIF($C$12:C813,"x")</f>
        <v>41</v>
      </c>
      <c r="B813" s="1451" t="s">
        <v>1786</v>
      </c>
      <c r="C813" s="966" t="str">
        <f t="shared" si="156"/>
        <v xml:space="preserve"> </v>
      </c>
      <c r="D813" s="1411">
        <v>4</v>
      </c>
      <c r="E813" s="976"/>
      <c r="F813" s="988" t="str">
        <f>VLOOKUP($B813,DG!A:D,DG!$C$2,)</f>
        <v>Boulon 16x50+ 2 long đền vuông D18-50x50x3/Zn</v>
      </c>
      <c r="G813" s="976" t="str">
        <f>VLOOKUP($B813,DG!A:D,DG!$D$2,)</f>
        <v>bộ</v>
      </c>
      <c r="H813" s="1689">
        <f>H$818*$D813</f>
        <v>0</v>
      </c>
      <c r="I813" s="1689">
        <f t="shared" si="155"/>
        <v>0</v>
      </c>
      <c r="J813" s="1689">
        <f t="shared" si="155"/>
        <v>0</v>
      </c>
      <c r="K813" s="1689">
        <f t="shared" si="155"/>
        <v>0</v>
      </c>
      <c r="L813" s="1689">
        <f t="shared" si="155"/>
        <v>0</v>
      </c>
      <c r="M813" s="1689">
        <f t="shared" si="155"/>
        <v>0</v>
      </c>
      <c r="N813" s="1689">
        <f t="shared" si="155"/>
        <v>0</v>
      </c>
      <c r="O813" s="1689">
        <f t="shared" si="155"/>
        <v>0</v>
      </c>
      <c r="P813" s="1689"/>
      <c r="Q813" s="985"/>
      <c r="R813" s="985"/>
      <c r="S813" s="985"/>
      <c r="T813" s="1858">
        <f t="shared" si="143"/>
        <v>0</v>
      </c>
    </row>
    <row r="814" spans="1:20" ht="22.2" hidden="1" customHeight="1">
      <c r="A814" s="1444">
        <f>COUNTIF($C$12:C814,"x")</f>
        <v>41</v>
      </c>
      <c r="B814" s="1451" t="s">
        <v>1779</v>
      </c>
      <c r="C814" s="966" t="str">
        <f t="shared" si="156"/>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3"/>
        <v>0</v>
      </c>
    </row>
    <row r="815" spans="1:20" ht="22.2" hidden="1" customHeight="1">
      <c r="A815" s="1444">
        <f>COUNTIF($C$12:C815,"x")</f>
        <v>41</v>
      </c>
      <c r="B815" s="1451" t="s">
        <v>1996</v>
      </c>
      <c r="C815" s="966" t="str">
        <f t="shared" si="156"/>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3"/>
        <v>0</v>
      </c>
    </row>
    <row r="816" spans="1:20" ht="22.2" hidden="1" customHeight="1">
      <c r="A816" s="1444">
        <f>COUNTIF($C$12:C816,"x")</f>
        <v>41</v>
      </c>
      <c r="B816" s="1460" t="s">
        <v>1997</v>
      </c>
      <c r="C816" s="966" t="str">
        <f t="shared" si="156"/>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3"/>
        <v>0</v>
      </c>
    </row>
    <row r="817" spans="1:20" ht="22.2" hidden="1" customHeight="1">
      <c r="A817" s="1444">
        <f>COUNTIF($C$12:C817,"x")</f>
        <v>41</v>
      </c>
      <c r="B817" s="1460" t="s">
        <v>635</v>
      </c>
      <c r="C817" s="966" t="str">
        <f t="shared" si="156"/>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7">IFERROR(HLOOKUP(B817,BangKeTru,3,0),0)</f>
        <v>0</v>
      </c>
    </row>
    <row r="818" spans="1:20" ht="22.2" hidden="1" customHeight="1">
      <c r="A818" s="1444">
        <f>COUNTIF($C$12:C818,"x")</f>
        <v>41</v>
      </c>
      <c r="B818" s="1448" t="s">
        <v>2291</v>
      </c>
      <c r="C818" s="966" t="str">
        <f t="shared" si="156"/>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2" hidden="1" customHeight="1">
      <c r="A819" s="1444">
        <f>COUNTIF($C$12:C819,"x")</f>
        <v>41</v>
      </c>
      <c r="B819" s="1451" t="s">
        <v>109</v>
      </c>
      <c r="C819" s="966" t="str">
        <f t="shared" si="156"/>
        <v xml:space="preserve"> </v>
      </c>
      <c r="D819" s="1410">
        <f>9.02*2.2</f>
        <v>19.844000000000001</v>
      </c>
      <c r="E819" s="976"/>
      <c r="F819" s="988" t="str">
        <f>VLOOKUP($B819,DG!A:D,DG!$C$2,)</f>
        <v>Sắt góc L75 x75 x8</v>
      </c>
      <c r="G819" s="976" t="str">
        <f>VLOOKUP($B819,DG!A:D,DG!$D$2,)</f>
        <v>kg</v>
      </c>
      <c r="H819" s="1689">
        <f t="shared" ref="H819:N822" si="158">H$818*$D819</f>
        <v>0</v>
      </c>
      <c r="I819" s="1689">
        <f t="shared" si="158"/>
        <v>0</v>
      </c>
      <c r="J819" s="1689">
        <f t="shared" si="158"/>
        <v>0</v>
      </c>
      <c r="K819" s="1689">
        <f t="shared" si="158"/>
        <v>0</v>
      </c>
      <c r="L819" s="1689">
        <f t="shared" si="158"/>
        <v>0</v>
      </c>
      <c r="M819" s="1689">
        <f t="shared" si="158"/>
        <v>0</v>
      </c>
      <c r="N819" s="1689">
        <f t="shared" si="158"/>
        <v>0</v>
      </c>
      <c r="O819" s="1689"/>
      <c r="P819" s="1689"/>
      <c r="Q819" s="985"/>
      <c r="R819" s="985"/>
      <c r="S819" s="985"/>
      <c r="T819" s="1858">
        <f t="shared" si="157"/>
        <v>0</v>
      </c>
    </row>
    <row r="820" spans="1:20" ht="22.2" hidden="1" customHeight="1">
      <c r="A820" s="1444">
        <f>COUNTIF($C$12:C820,"x")</f>
        <v>41</v>
      </c>
      <c r="B820" s="1451" t="s">
        <v>457</v>
      </c>
      <c r="C820" s="966" t="str">
        <f t="shared" si="156"/>
        <v xml:space="preserve"> </v>
      </c>
      <c r="D820" s="1410">
        <f>3.77*0.72*2</f>
        <v>5.4287999999999998</v>
      </c>
      <c r="E820" s="976"/>
      <c r="F820" s="988" t="str">
        <f>VLOOKUP($B820,DG!A:D,DG!$C$2,)</f>
        <v>Sắt góc L50 x50 x5</v>
      </c>
      <c r="G820" s="976" t="str">
        <f>VLOOKUP($B820,DG!A:D,DG!$D$2,)</f>
        <v>kg</v>
      </c>
      <c r="H820" s="1689">
        <f t="shared" si="158"/>
        <v>0</v>
      </c>
      <c r="I820" s="1689">
        <f t="shared" si="158"/>
        <v>0</v>
      </c>
      <c r="J820" s="1689">
        <f t="shared" si="158"/>
        <v>0</v>
      </c>
      <c r="K820" s="1689">
        <f t="shared" si="158"/>
        <v>0</v>
      </c>
      <c r="L820" s="1689">
        <f t="shared" si="158"/>
        <v>0</v>
      </c>
      <c r="M820" s="1689">
        <f t="shared" si="158"/>
        <v>0</v>
      </c>
      <c r="N820" s="1689">
        <f t="shared" si="158"/>
        <v>0</v>
      </c>
      <c r="O820" s="1689"/>
      <c r="P820" s="1689"/>
      <c r="Q820" s="985"/>
      <c r="R820" s="985"/>
      <c r="S820" s="985"/>
      <c r="T820" s="1858">
        <f t="shared" si="157"/>
        <v>0</v>
      </c>
    </row>
    <row r="821" spans="1:20" ht="22.2" hidden="1" customHeight="1">
      <c r="A821" s="1444">
        <f>COUNTIF($C$12:C821,"x")</f>
        <v>41</v>
      </c>
      <c r="B821" s="1451" t="s">
        <v>1609</v>
      </c>
      <c r="C821" s="966" t="str">
        <f t="shared" si="156"/>
        <v xml:space="preserve"> </v>
      </c>
      <c r="D821" s="1411">
        <v>2</v>
      </c>
      <c r="E821" s="976"/>
      <c r="F821" s="988" t="str">
        <f>VLOOKUP($B821,DG!A:D,DG!$C$2,)</f>
        <v>Boulon 16x250+ 2 long đền vuông D18-50x50x3/Zn</v>
      </c>
      <c r="G821" s="976" t="str">
        <f>VLOOKUP($B821,DG!A:D,DG!$D$2,)</f>
        <v>bộ</v>
      </c>
      <c r="H821" s="1689">
        <f t="shared" si="158"/>
        <v>0</v>
      </c>
      <c r="I821" s="1689">
        <f t="shared" si="158"/>
        <v>0</v>
      </c>
      <c r="J821" s="1689">
        <f t="shared" si="158"/>
        <v>0</v>
      </c>
      <c r="K821" s="1689">
        <f t="shared" si="158"/>
        <v>0</v>
      </c>
      <c r="L821" s="1689">
        <f t="shared" si="158"/>
        <v>0</v>
      </c>
      <c r="M821" s="1689">
        <f t="shared" si="158"/>
        <v>0</v>
      </c>
      <c r="N821" s="1689">
        <f t="shared" si="158"/>
        <v>0</v>
      </c>
      <c r="O821" s="1689"/>
      <c r="P821" s="1689"/>
      <c r="Q821" s="985"/>
      <c r="R821" s="985"/>
      <c r="S821" s="985"/>
      <c r="T821" s="1858">
        <f t="shared" si="157"/>
        <v>0</v>
      </c>
    </row>
    <row r="822" spans="1:20" ht="22.2" hidden="1" customHeight="1">
      <c r="A822" s="1444">
        <f>COUNTIF($C$12:C822,"x")</f>
        <v>41</v>
      </c>
      <c r="B822" s="1451" t="s">
        <v>1786</v>
      </c>
      <c r="C822" s="966" t="str">
        <f t="shared" si="156"/>
        <v xml:space="preserve"> </v>
      </c>
      <c r="D822" s="1411">
        <v>1</v>
      </c>
      <c r="E822" s="976"/>
      <c r="F822" s="988" t="str">
        <f>VLOOKUP($B822,DG!A:D,DG!$C$2,)</f>
        <v>Boulon 16x50+ 2 long đền vuông D18-50x50x3/Zn</v>
      </c>
      <c r="G822" s="976" t="str">
        <f>VLOOKUP($B822,DG!A:D,DG!$D$2,)</f>
        <v>bộ</v>
      </c>
      <c r="H822" s="1689">
        <f t="shared" si="158"/>
        <v>0</v>
      </c>
      <c r="I822" s="1689">
        <f t="shared" si="158"/>
        <v>0</v>
      </c>
      <c r="J822" s="1689">
        <f t="shared" si="158"/>
        <v>0</v>
      </c>
      <c r="K822" s="1689">
        <f t="shared" si="158"/>
        <v>0</v>
      </c>
      <c r="L822" s="1689">
        <f t="shared" si="158"/>
        <v>0</v>
      </c>
      <c r="M822" s="1689">
        <f t="shared" si="158"/>
        <v>0</v>
      </c>
      <c r="N822" s="1689">
        <f t="shared" si="158"/>
        <v>0</v>
      </c>
      <c r="O822" s="1689"/>
      <c r="P822" s="1689"/>
      <c r="Q822" s="985"/>
      <c r="R822" s="985"/>
      <c r="S822" s="985"/>
      <c r="T822" s="1858">
        <f t="shared" si="157"/>
        <v>0</v>
      </c>
    </row>
    <row r="823" spans="1:20" ht="22.2" hidden="1" customHeight="1">
      <c r="A823" s="1444">
        <f>COUNTIF($C$12:C823,"x")</f>
        <v>41</v>
      </c>
      <c r="B823" s="1451" t="s">
        <v>1995</v>
      </c>
      <c r="C823" s="966" t="str">
        <f t="shared" si="156"/>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7"/>
        <v>0</v>
      </c>
    </row>
    <row r="824" spans="1:20" ht="22.2" hidden="1" customHeight="1">
      <c r="A824" s="1444">
        <f>COUNTIF($C$12:C824,"x")</f>
        <v>41</v>
      </c>
      <c r="B824" s="1451" t="s">
        <v>1996</v>
      </c>
      <c r="C824" s="966" t="str">
        <f t="shared" si="156"/>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7"/>
        <v>0</v>
      </c>
    </row>
    <row r="825" spans="1:20" ht="22.2" hidden="1" customHeight="1">
      <c r="A825" s="1444">
        <f>COUNTIF($C$12:C825,"x")</f>
        <v>41</v>
      </c>
      <c r="B825" s="1460" t="s">
        <v>1997</v>
      </c>
      <c r="C825" s="966" t="str">
        <f t="shared" si="156"/>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7"/>
        <v>0</v>
      </c>
    </row>
    <row r="826" spans="1:20" ht="22.2" hidden="1" customHeight="1">
      <c r="A826" s="1444">
        <f>COUNTIF($C$12:C826,"x")</f>
        <v>41</v>
      </c>
      <c r="B826" s="1460" t="s">
        <v>635</v>
      </c>
      <c r="C826" s="966" t="str">
        <f t="shared" si="156"/>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7"/>
        <v>0</v>
      </c>
    </row>
    <row r="827" spans="1:20" ht="22.2" hidden="1" customHeight="1">
      <c r="A827" s="1444">
        <f>COUNTIF($C$12:C827,"x")</f>
        <v>41</v>
      </c>
      <c r="B827" s="1448" t="s">
        <v>909</v>
      </c>
      <c r="C827" s="966" t="str">
        <f t="shared" si="156"/>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2" hidden="1" customHeight="1">
      <c r="A828" s="1444">
        <f>COUNTIF($C$12:C828,"x")</f>
        <v>41</v>
      </c>
      <c r="B828" s="1451" t="s">
        <v>4815</v>
      </c>
      <c r="C828" s="966" t="str">
        <f t="shared" si="156"/>
        <v xml:space="preserve"> </v>
      </c>
      <c r="D828" s="1410">
        <f>9.02*2.2*2</f>
        <v>39.688000000000002</v>
      </c>
      <c r="E828" s="976"/>
      <c r="F828" s="988" t="str">
        <f>VLOOKUP($B828,DG!A:D,DG!$C$2,)</f>
        <v>Sắt góc L75 x75 x8-2.200</v>
      </c>
      <c r="G828" s="976" t="str">
        <f>VLOOKUP($B828,DG!A:D,DG!$D$2,)</f>
        <v>cái</v>
      </c>
      <c r="H828" s="1689">
        <f t="shared" ref="H828:H833" si="159">H$827*$D828</f>
        <v>0</v>
      </c>
      <c r="I828" s="1689">
        <f t="shared" ref="I828:K831" si="160">I$818*$D828</f>
        <v>0</v>
      </c>
      <c r="J828" s="1689">
        <f t="shared" si="160"/>
        <v>0</v>
      </c>
      <c r="K828" s="1689">
        <f t="shared" si="160"/>
        <v>0</v>
      </c>
      <c r="L828" s="1689">
        <f t="shared" ref="L828:N833" si="161">L$827*$D828</f>
        <v>0</v>
      </c>
      <c r="M828" s="1689">
        <f t="shared" si="161"/>
        <v>0</v>
      </c>
      <c r="N828" s="1689">
        <f t="shared" si="161"/>
        <v>0</v>
      </c>
      <c r="O828" s="1689"/>
      <c r="P828" s="1689"/>
      <c r="Q828" s="985"/>
      <c r="R828" s="985"/>
      <c r="S828" s="985"/>
      <c r="T828" s="1858">
        <f t="shared" si="157"/>
        <v>0</v>
      </c>
    </row>
    <row r="829" spans="1:20" ht="22.2" hidden="1" customHeight="1">
      <c r="A829" s="1444">
        <f>COUNTIF($C$12:C829,"x")</f>
        <v>41</v>
      </c>
      <c r="B829" s="1451" t="s">
        <v>457</v>
      </c>
      <c r="C829" s="966" t="str">
        <f t="shared" si="156"/>
        <v xml:space="preserve"> </v>
      </c>
      <c r="D829" s="1410">
        <f>3.77*0.72*4</f>
        <v>10.8576</v>
      </c>
      <c r="E829" s="976"/>
      <c r="F829" s="988" t="str">
        <f>VLOOKUP($B829,DG!A:D,DG!$C$2,)</f>
        <v>Sắt góc L50 x50 x5</v>
      </c>
      <c r="G829" s="976" t="str">
        <f>VLOOKUP($B829,DG!A:D,DG!$D$2,)</f>
        <v>kg</v>
      </c>
      <c r="H829" s="1689">
        <f t="shared" si="159"/>
        <v>0</v>
      </c>
      <c r="I829" s="1689">
        <f t="shared" si="160"/>
        <v>0</v>
      </c>
      <c r="J829" s="1689">
        <f t="shared" si="160"/>
        <v>0</v>
      </c>
      <c r="K829" s="1689">
        <f t="shared" si="160"/>
        <v>0</v>
      </c>
      <c r="L829" s="1689">
        <f t="shared" si="161"/>
        <v>0</v>
      </c>
      <c r="M829" s="1689">
        <f t="shared" si="161"/>
        <v>0</v>
      </c>
      <c r="N829" s="1689">
        <f t="shared" si="161"/>
        <v>0</v>
      </c>
      <c r="O829" s="1689"/>
      <c r="P829" s="1689"/>
      <c r="Q829" s="985"/>
      <c r="R829" s="985"/>
      <c r="S829" s="985"/>
      <c r="T829" s="1858">
        <f t="shared" si="157"/>
        <v>0</v>
      </c>
    </row>
    <row r="830" spans="1:20" ht="22.2" hidden="1" customHeight="1">
      <c r="A830" s="1444">
        <f>COUNTIF($C$12:C830,"x")</f>
        <v>41</v>
      </c>
      <c r="B830" s="1451" t="s">
        <v>1786</v>
      </c>
      <c r="C830" s="966" t="str">
        <f t="shared" si="156"/>
        <v xml:space="preserve"> </v>
      </c>
      <c r="D830" s="1411">
        <v>4</v>
      </c>
      <c r="E830" s="976"/>
      <c r="F830" s="988" t="str">
        <f>VLOOKUP($B830,DG!A:D,DG!$C$2,)</f>
        <v>Boulon 16x50+ 2 long đền vuông D18-50x50x3/Zn</v>
      </c>
      <c r="G830" s="976" t="str">
        <f>VLOOKUP($B830,DG!A:D,DG!$D$2,)</f>
        <v>bộ</v>
      </c>
      <c r="H830" s="1689">
        <f t="shared" si="159"/>
        <v>0</v>
      </c>
      <c r="I830" s="1689">
        <f t="shared" si="160"/>
        <v>0</v>
      </c>
      <c r="J830" s="1689">
        <f t="shared" si="160"/>
        <v>0</v>
      </c>
      <c r="K830" s="1689">
        <f t="shared" si="160"/>
        <v>0</v>
      </c>
      <c r="L830" s="1689">
        <f t="shared" si="161"/>
        <v>0</v>
      </c>
      <c r="M830" s="1689">
        <f t="shared" si="161"/>
        <v>0</v>
      </c>
      <c r="N830" s="1689">
        <f t="shared" si="161"/>
        <v>0</v>
      </c>
      <c r="O830" s="1689"/>
      <c r="P830" s="1689"/>
      <c r="Q830" s="985"/>
      <c r="R830" s="985"/>
      <c r="S830" s="985"/>
      <c r="T830" s="1858">
        <f t="shared" si="157"/>
        <v>0</v>
      </c>
    </row>
    <row r="831" spans="1:20" ht="22.2" hidden="1" customHeight="1">
      <c r="A831" s="1444">
        <f>COUNTIF($C$12:C831,"x")</f>
        <v>41</v>
      </c>
      <c r="B831" s="1451" t="s">
        <v>1609</v>
      </c>
      <c r="C831" s="966" t="str">
        <f t="shared" si="156"/>
        <v xml:space="preserve"> </v>
      </c>
      <c r="D831" s="1411">
        <v>1</v>
      </c>
      <c r="E831" s="976"/>
      <c r="F831" s="988" t="str">
        <f>VLOOKUP($B831,DG!A:D,DG!$C$2,)</f>
        <v>Boulon 16x250+ 2 long đền vuông D18-50x50x3/Zn</v>
      </c>
      <c r="G831" s="976" t="str">
        <f>VLOOKUP($B831,DG!A:D,DG!$D$2,)</f>
        <v>bộ</v>
      </c>
      <c r="H831" s="1689">
        <f t="shared" si="159"/>
        <v>0</v>
      </c>
      <c r="I831" s="1689">
        <f t="shared" si="160"/>
        <v>0</v>
      </c>
      <c r="J831" s="1689">
        <f t="shared" si="160"/>
        <v>0</v>
      </c>
      <c r="K831" s="1689">
        <f t="shared" si="160"/>
        <v>0</v>
      </c>
      <c r="L831" s="1689">
        <f t="shared" si="161"/>
        <v>0</v>
      </c>
      <c r="M831" s="1689">
        <f t="shared" si="161"/>
        <v>0</v>
      </c>
      <c r="N831" s="1689">
        <f t="shared" si="161"/>
        <v>0</v>
      </c>
      <c r="O831" s="1689"/>
      <c r="P831" s="1689"/>
      <c r="Q831" s="985"/>
      <c r="R831" s="985"/>
      <c r="S831" s="985"/>
      <c r="T831" s="1858">
        <f t="shared" si="157"/>
        <v>0</v>
      </c>
    </row>
    <row r="832" spans="1:20" ht="22.2" hidden="1" customHeight="1">
      <c r="A832" s="1444">
        <f>COUNTIF($C$12:C832,"x")</f>
        <v>41</v>
      </c>
      <c r="B832" s="1451" t="s">
        <v>1610</v>
      </c>
      <c r="C832" s="966" t="str">
        <f t="shared" si="156"/>
        <v xml:space="preserve"> </v>
      </c>
      <c r="D832" s="1411">
        <v>1</v>
      </c>
      <c r="E832" s="976"/>
      <c r="F832" s="988" t="str">
        <f>VLOOKUP($B832,DG!A:D,DG!$C$2,)</f>
        <v>Boulon 16x300+ 2 long đền vuông D18-50x50x3/Zn</v>
      </c>
      <c r="G832" s="976" t="str">
        <f>VLOOKUP($B832,DG!A:D,DG!$D$2,)</f>
        <v>bộ</v>
      </c>
      <c r="H832" s="1689">
        <f t="shared" si="159"/>
        <v>0</v>
      </c>
      <c r="I832" s="1689">
        <f t="shared" ref="I832:K833" si="162">I$827*$D832</f>
        <v>0</v>
      </c>
      <c r="J832" s="1689">
        <f t="shared" si="162"/>
        <v>0</v>
      </c>
      <c r="K832" s="1689">
        <f t="shared" si="162"/>
        <v>0</v>
      </c>
      <c r="L832" s="1689">
        <f t="shared" si="161"/>
        <v>0</v>
      </c>
      <c r="M832" s="1689">
        <f t="shared" si="161"/>
        <v>0</v>
      </c>
      <c r="N832" s="1689">
        <f t="shared" si="161"/>
        <v>0</v>
      </c>
      <c r="O832" s="1689"/>
      <c r="P832" s="1689"/>
      <c r="Q832" s="985"/>
      <c r="R832" s="985"/>
      <c r="S832" s="985"/>
      <c r="T832" s="1858">
        <f t="shared" si="157"/>
        <v>0</v>
      </c>
    </row>
    <row r="833" spans="1:20" ht="22.2" hidden="1" customHeight="1">
      <c r="A833" s="1444">
        <f>COUNTIF($C$12:C833,"x")</f>
        <v>41</v>
      </c>
      <c r="B833" s="1451" t="s">
        <v>415</v>
      </c>
      <c r="C833" s="966" t="str">
        <f t="shared" si="156"/>
        <v xml:space="preserve"> </v>
      </c>
      <c r="D833" s="1411">
        <v>2</v>
      </c>
      <c r="E833" s="976"/>
      <c r="F833" s="988" t="str">
        <f>VLOOKUP($B833,DG!A:D,DG!$C$2,)</f>
        <v>Boulon 16x300VRS+ 4 long đền vuông D18-50x50x3/Zn</v>
      </c>
      <c r="G833" s="976" t="str">
        <f>VLOOKUP($B833,DG!A:D,DG!$D$2,)</f>
        <v>bộ</v>
      </c>
      <c r="H833" s="1689">
        <f t="shared" si="159"/>
        <v>0</v>
      </c>
      <c r="I833" s="1689">
        <f t="shared" si="162"/>
        <v>0</v>
      </c>
      <c r="J833" s="1689">
        <f t="shared" si="162"/>
        <v>0</v>
      </c>
      <c r="K833" s="1689">
        <f t="shared" si="162"/>
        <v>0</v>
      </c>
      <c r="L833" s="1689">
        <f t="shared" si="161"/>
        <v>0</v>
      </c>
      <c r="M833" s="1689">
        <f t="shared" si="161"/>
        <v>0</v>
      </c>
      <c r="N833" s="1689">
        <f t="shared" si="161"/>
        <v>0</v>
      </c>
      <c r="O833" s="1689"/>
      <c r="P833" s="1689"/>
      <c r="Q833" s="985"/>
      <c r="R833" s="985"/>
      <c r="S833" s="985"/>
      <c r="T833" s="1858">
        <f t="shared" si="157"/>
        <v>0</v>
      </c>
    </row>
    <row r="834" spans="1:20" ht="22.2" hidden="1" customHeight="1">
      <c r="A834" s="1444">
        <f>COUNTIF($C$12:C834,"x")</f>
        <v>41</v>
      </c>
      <c r="B834" s="1451" t="s">
        <v>1998</v>
      </c>
      <c r="C834" s="966" t="str">
        <f t="shared" si="156"/>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7"/>
        <v>0</v>
      </c>
    </row>
    <row r="835" spans="1:20" ht="22.2" hidden="1" customHeight="1">
      <c r="A835" s="1444">
        <f>COUNTIF($C$12:C835,"x")</f>
        <v>41</v>
      </c>
      <c r="B835" s="1451" t="s">
        <v>1996</v>
      </c>
      <c r="C835" s="966" t="str">
        <f t="shared" si="156"/>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7"/>
        <v>0</v>
      </c>
    </row>
    <row r="836" spans="1:20" ht="22.2" hidden="1" customHeight="1">
      <c r="A836" s="1444">
        <f>COUNTIF($C$12:C836,"x")</f>
        <v>41</v>
      </c>
      <c r="B836" s="1460" t="s">
        <v>1997</v>
      </c>
      <c r="C836" s="966" t="str">
        <f t="shared" si="156"/>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7"/>
        <v>0</v>
      </c>
    </row>
    <row r="837" spans="1:20" ht="22.2" hidden="1" customHeight="1">
      <c r="A837" s="1444">
        <f>COUNTIF($C$12:C837,"x")</f>
        <v>41</v>
      </c>
      <c r="B837" s="1460" t="s">
        <v>635</v>
      </c>
      <c r="C837" s="966" t="str">
        <f t="shared" si="156"/>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7"/>
        <v>0</v>
      </c>
    </row>
    <row r="838" spans="1:20" ht="22.2" hidden="1" customHeight="1">
      <c r="A838" s="1444">
        <f>COUNTIF($C$12:C838,"x")</f>
        <v>41</v>
      </c>
      <c r="B838" s="1448" t="s">
        <v>2294</v>
      </c>
      <c r="C838" s="1697" t="str">
        <f t="shared" si="156"/>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2" hidden="1" customHeight="1">
      <c r="A839" s="1444">
        <f>COUNTIF($C$12:C839,"x")</f>
        <v>41</v>
      </c>
      <c r="B839" s="1451" t="s">
        <v>109</v>
      </c>
      <c r="C839" s="1697" t="str">
        <f t="shared" si="156"/>
        <v xml:space="preserve"> </v>
      </c>
      <c r="D839" s="1410">
        <v>1</v>
      </c>
      <c r="E839" s="976"/>
      <c r="F839" s="988" t="str">
        <f>VLOOKUP($B839,DG!A:D,DG!$C$2,)</f>
        <v>Sắt góc L75 x75 x8</v>
      </c>
      <c r="G839" s="976" t="str">
        <f>VLOOKUP($B839,DG!A:D,DG!$D$2,)</f>
        <v>kg</v>
      </c>
      <c r="H839" s="1689">
        <f t="shared" ref="H839:N840" si="163">H$838*$D839</f>
        <v>0</v>
      </c>
      <c r="I839" s="1689">
        <f t="shared" si="163"/>
        <v>0</v>
      </c>
      <c r="J839" s="1689">
        <f t="shared" si="163"/>
        <v>0</v>
      </c>
      <c r="K839" s="1689">
        <f t="shared" si="163"/>
        <v>0</v>
      </c>
      <c r="L839" s="1689">
        <f t="shared" si="163"/>
        <v>0</v>
      </c>
      <c r="M839" s="1689">
        <f t="shared" si="163"/>
        <v>0</v>
      </c>
      <c r="N839" s="1689">
        <f t="shared" si="163"/>
        <v>0</v>
      </c>
      <c r="O839" s="1689"/>
      <c r="P839" s="1689">
        <f>$P$838*D839</f>
        <v>0</v>
      </c>
      <c r="Q839" s="989">
        <f>$Q$838*D839</f>
        <v>0</v>
      </c>
      <c r="R839" s="985"/>
      <c r="S839" s="985"/>
      <c r="T839" s="1858">
        <f t="shared" si="157"/>
        <v>0</v>
      </c>
    </row>
    <row r="840" spans="1:20" ht="22.2" hidden="1" customHeight="1">
      <c r="A840" s="1444">
        <f>COUNTIF($C$12:C840,"x")</f>
        <v>41</v>
      </c>
      <c r="B840" s="1451" t="s">
        <v>457</v>
      </c>
      <c r="C840" s="1697" t="str">
        <f t="shared" si="156"/>
        <v xml:space="preserve"> </v>
      </c>
      <c r="D840" s="1410">
        <v>2</v>
      </c>
      <c r="E840" s="976"/>
      <c r="F840" s="988" t="str">
        <f>VLOOKUP($B840,DG!A:D,DG!$C$2,)&amp;": thanh chống 810"</f>
        <v>Sắt góc L50 x50 x5: thanh chống 810</v>
      </c>
      <c r="G840" s="976" t="str">
        <f>VLOOKUP($B840,DG!A:D,DG!$D$2,)</f>
        <v>kg</v>
      </c>
      <c r="H840" s="1689">
        <f t="shared" si="163"/>
        <v>0</v>
      </c>
      <c r="I840" s="1689">
        <f t="shared" si="163"/>
        <v>0</v>
      </c>
      <c r="J840" s="1689">
        <f t="shared" si="163"/>
        <v>0</v>
      </c>
      <c r="K840" s="1689">
        <f t="shared" si="163"/>
        <v>0</v>
      </c>
      <c r="L840" s="1689">
        <f t="shared" si="163"/>
        <v>0</v>
      </c>
      <c r="M840" s="1689">
        <f t="shared" si="163"/>
        <v>0</v>
      </c>
      <c r="N840" s="1689">
        <f t="shared" si="163"/>
        <v>0</v>
      </c>
      <c r="O840" s="1689"/>
      <c r="P840" s="1689">
        <f>$P$838*D840</f>
        <v>0</v>
      </c>
      <c r="Q840" s="985">
        <f>$Q$838*D840</f>
        <v>0</v>
      </c>
      <c r="R840" s="985"/>
      <c r="S840" s="985"/>
      <c r="T840" s="1858">
        <f t="shared" si="157"/>
        <v>0</v>
      </c>
    </row>
    <row r="841" spans="1:20" ht="22.2" hidden="1" customHeight="1">
      <c r="A841" s="1444">
        <f>COUNTIF($C$12:C841,"x")</f>
        <v>41</v>
      </c>
      <c r="B841" s="1451" t="s">
        <v>2420</v>
      </c>
      <c r="C841" s="966" t="str">
        <f t="shared" si="156"/>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7"/>
        <v>0</v>
      </c>
    </row>
    <row r="842" spans="1:20" ht="22.2" hidden="1" customHeight="1">
      <c r="A842" s="1444">
        <f>COUNTIF($C$12:C842,"x")</f>
        <v>41</v>
      </c>
      <c r="B842" s="1451" t="s">
        <v>569</v>
      </c>
      <c r="C842" s="966" t="str">
        <f t="shared" si="156"/>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7"/>
        <v>0</v>
      </c>
    </row>
    <row r="843" spans="1:20" ht="22.2" hidden="1" customHeight="1">
      <c r="A843" s="1444">
        <f>COUNTIF($C$12:C843,"x")</f>
        <v>41</v>
      </c>
      <c r="B843" s="1451" t="s">
        <v>1609</v>
      </c>
      <c r="C843" s="1697" t="str">
        <f t="shared" si="156"/>
        <v xml:space="preserve"> </v>
      </c>
      <c r="D843" s="1411">
        <v>2</v>
      </c>
      <c r="E843" s="976"/>
      <c r="F843" s="988" t="str">
        <f>VLOOKUP($B843,DG!A:D,DG!$C$2,)</f>
        <v>Boulon 16x250+ 2 long đền vuông D18-50x50x3/Zn</v>
      </c>
      <c r="G843" s="976" t="str">
        <f>VLOOKUP($B843,DG!A:D,DG!$D$2,)</f>
        <v>bộ</v>
      </c>
      <c r="H843" s="1689">
        <f t="shared" ref="H843:N844" si="164">H$838*$D843</f>
        <v>0</v>
      </c>
      <c r="I843" s="1689">
        <f t="shared" si="164"/>
        <v>0</v>
      </c>
      <c r="J843" s="1689">
        <f t="shared" si="164"/>
        <v>0</v>
      </c>
      <c r="K843" s="1689">
        <f t="shared" si="164"/>
        <v>0</v>
      </c>
      <c r="L843" s="1689">
        <f t="shared" si="164"/>
        <v>0</v>
      </c>
      <c r="M843" s="1689">
        <f t="shared" si="164"/>
        <v>0</v>
      </c>
      <c r="N843" s="1689">
        <f t="shared" si="164"/>
        <v>0</v>
      </c>
      <c r="O843" s="1689"/>
      <c r="P843" s="1689">
        <f>$P$838*D843</f>
        <v>0</v>
      </c>
      <c r="Q843" s="985">
        <f>$Q$838*D843</f>
        <v>0</v>
      </c>
      <c r="R843" s="985"/>
      <c r="S843" s="985"/>
      <c r="T843" s="1858">
        <f t="shared" si="157"/>
        <v>0</v>
      </c>
    </row>
    <row r="844" spans="1:20" ht="22.2" hidden="1" customHeight="1">
      <c r="A844" s="1444">
        <f>COUNTIF($C$12:C844,"x")</f>
        <v>41</v>
      </c>
      <c r="B844" s="1451" t="s">
        <v>1786</v>
      </c>
      <c r="C844" s="1697" t="str">
        <f t="shared" si="156"/>
        <v xml:space="preserve"> </v>
      </c>
      <c r="D844" s="1411">
        <v>2</v>
      </c>
      <c r="E844" s="976"/>
      <c r="F844" s="988" t="str">
        <f>VLOOKUP($B844,DG!A:D,DG!$C$2,)</f>
        <v>Boulon 16x50+ 2 long đền vuông D18-50x50x3/Zn</v>
      </c>
      <c r="G844" s="976" t="str">
        <f>VLOOKUP($B844,DG!A:D,DG!$D$2,)</f>
        <v>bộ</v>
      </c>
      <c r="H844" s="1689">
        <f t="shared" si="164"/>
        <v>0</v>
      </c>
      <c r="I844" s="1689">
        <f t="shared" si="164"/>
        <v>0</v>
      </c>
      <c r="J844" s="1689">
        <f t="shared" si="164"/>
        <v>0</v>
      </c>
      <c r="K844" s="1689">
        <f t="shared" si="164"/>
        <v>0</v>
      </c>
      <c r="L844" s="1689">
        <f t="shared" si="164"/>
        <v>0</v>
      </c>
      <c r="M844" s="1689">
        <f t="shared" si="164"/>
        <v>0</v>
      </c>
      <c r="N844" s="1689">
        <f t="shared" si="164"/>
        <v>0</v>
      </c>
      <c r="O844" s="1689"/>
      <c r="P844" s="1689">
        <f>$P$838*D844</f>
        <v>0</v>
      </c>
      <c r="Q844" s="985">
        <f>$Q$838*D844</f>
        <v>0</v>
      </c>
      <c r="R844" s="985"/>
      <c r="S844" s="985"/>
      <c r="T844" s="1858">
        <f t="shared" si="157"/>
        <v>0</v>
      </c>
    </row>
    <row r="845" spans="1:20" ht="22.2" hidden="1" customHeight="1">
      <c r="A845" s="1444">
        <f>COUNTIF($C$12:C845,"x")</f>
        <v>41</v>
      </c>
      <c r="B845" s="1451" t="s">
        <v>516</v>
      </c>
      <c r="C845" s="1697" t="str">
        <f t="shared" si="156"/>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7"/>
        <v>0</v>
      </c>
    </row>
    <row r="846" spans="1:20" ht="22.2" hidden="1" customHeight="1">
      <c r="A846" s="1444">
        <f>COUNTIF($C$12:C846,"x")</f>
        <v>41</v>
      </c>
      <c r="B846" s="1451" t="s">
        <v>1996</v>
      </c>
      <c r="C846" s="966" t="str">
        <f t="shared" si="156"/>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7"/>
        <v>0</v>
      </c>
    </row>
    <row r="847" spans="1:20" ht="22.2" hidden="1" customHeight="1">
      <c r="A847" s="1444">
        <f>COUNTIF($C$12:C847,"x")</f>
        <v>41</v>
      </c>
      <c r="B847" s="1460" t="s">
        <v>1997</v>
      </c>
      <c r="C847" s="966" t="str">
        <f t="shared" si="156"/>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7"/>
        <v>0</v>
      </c>
    </row>
    <row r="848" spans="1:20" ht="22.2" hidden="1" customHeight="1">
      <c r="A848" s="1444">
        <f>COUNTIF($C$12:C848,"x")</f>
        <v>41</v>
      </c>
      <c r="B848" s="1460" t="s">
        <v>635</v>
      </c>
      <c r="C848" s="966" t="str">
        <f t="shared" si="156"/>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7"/>
        <v>0</v>
      </c>
    </row>
    <row r="849" spans="1:20" ht="22.2" hidden="1" customHeight="1">
      <c r="A849" s="1444">
        <f>COUNTIF($C$12:C849,"x")</f>
        <v>41</v>
      </c>
      <c r="B849" s="1448" t="s">
        <v>2310</v>
      </c>
      <c r="C849" s="966" t="str">
        <f t="shared" si="156"/>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2" hidden="1" customHeight="1">
      <c r="A850" s="1444">
        <f>COUNTIF($C$12:C850,"x")</f>
        <v>41</v>
      </c>
      <c r="B850" s="1451" t="s">
        <v>109</v>
      </c>
      <c r="C850" s="966" t="str">
        <f t="shared" si="156"/>
        <v xml:space="preserve"> </v>
      </c>
      <c r="D850" s="1410">
        <f>9.02*(2.2+4*0.07)</f>
        <v>22.369600000000002</v>
      </c>
      <c r="E850" s="976"/>
      <c r="F850" s="988" t="str">
        <f>VLOOKUP($B850,DG!A:D,DG!$C$2,)</f>
        <v>Sắt góc L75 x75 x8</v>
      </c>
      <c r="G850" s="976" t="str">
        <f>VLOOKUP($B850,DG!A:D,DG!$D$2,)</f>
        <v>kg</v>
      </c>
      <c r="H850" s="1689">
        <f t="shared" ref="H850:H857" si="165">$H$849*$D850</f>
        <v>0</v>
      </c>
      <c r="I850" s="1689">
        <f t="shared" ref="I850:I857" si="166">$I$849*$D850</f>
        <v>0</v>
      </c>
      <c r="J850" s="1689">
        <f t="shared" ref="J850:N853" si="167">J$838*$D850</f>
        <v>0</v>
      </c>
      <c r="K850" s="1689">
        <f t="shared" si="167"/>
        <v>0</v>
      </c>
      <c r="L850" s="1689">
        <f t="shared" si="167"/>
        <v>0</v>
      </c>
      <c r="M850" s="1689">
        <f t="shared" si="167"/>
        <v>0</v>
      </c>
      <c r="N850" s="1689">
        <f t="shared" si="167"/>
        <v>0</v>
      </c>
      <c r="O850" s="1689"/>
      <c r="P850" s="1689"/>
      <c r="Q850" s="985"/>
      <c r="R850" s="985"/>
      <c r="S850" s="985"/>
      <c r="T850" s="1858">
        <f t="shared" si="157"/>
        <v>0</v>
      </c>
    </row>
    <row r="851" spans="1:20" ht="22.2" hidden="1" customHeight="1">
      <c r="A851" s="1444">
        <f>COUNTIF($C$12:C851,"x")</f>
        <v>41</v>
      </c>
      <c r="B851" s="1451" t="s">
        <v>457</v>
      </c>
      <c r="C851" s="966" t="str">
        <f t="shared" si="156"/>
        <v xml:space="preserve"> </v>
      </c>
      <c r="D851" s="1410">
        <f>3.77*0.92*2</f>
        <v>6.9368000000000007</v>
      </c>
      <c r="E851" s="976"/>
      <c r="F851" s="988" t="str">
        <f>VLOOKUP($B851,DG!A:D,DG!$C$2,)&amp;" thanh chống 920"</f>
        <v>Sắt góc L50 x50 x5 thanh chống 920</v>
      </c>
      <c r="G851" s="976" t="str">
        <f>VLOOKUP($B851,DG!A:D,DG!$D$2,)</f>
        <v>kg</v>
      </c>
      <c r="H851" s="1689">
        <f t="shared" si="165"/>
        <v>0</v>
      </c>
      <c r="I851" s="1689">
        <f t="shared" si="166"/>
        <v>0</v>
      </c>
      <c r="J851" s="1689">
        <f t="shared" si="167"/>
        <v>0</v>
      </c>
      <c r="K851" s="1689">
        <f t="shared" si="167"/>
        <v>0</v>
      </c>
      <c r="L851" s="1689">
        <f t="shared" si="167"/>
        <v>0</v>
      </c>
      <c r="M851" s="1689">
        <f t="shared" si="167"/>
        <v>0</v>
      </c>
      <c r="N851" s="1689">
        <f t="shared" si="167"/>
        <v>0</v>
      </c>
      <c r="O851" s="1689"/>
      <c r="P851" s="1689"/>
      <c r="Q851" s="985"/>
      <c r="R851" s="985"/>
      <c r="S851" s="985"/>
      <c r="T851" s="1858">
        <f t="shared" si="157"/>
        <v>0</v>
      </c>
    </row>
    <row r="852" spans="1:20" ht="22.2" hidden="1" customHeight="1">
      <c r="A852" s="1444">
        <f>COUNTIF($C$12:C852,"x")</f>
        <v>41</v>
      </c>
      <c r="B852" s="1451" t="s">
        <v>1609</v>
      </c>
      <c r="C852" s="966" t="str">
        <f t="shared" si="156"/>
        <v xml:space="preserve"> </v>
      </c>
      <c r="D852" s="1411">
        <v>2</v>
      </c>
      <c r="E852" s="976"/>
      <c r="F852" s="988" t="str">
        <f>VLOOKUP($B852,DG!A:D,DG!$C$2,)</f>
        <v>Boulon 16x250+ 2 long đền vuông D18-50x50x3/Zn</v>
      </c>
      <c r="G852" s="976" t="str">
        <f>VLOOKUP($B852,DG!A:D,DG!$D$2,)</f>
        <v>bộ</v>
      </c>
      <c r="H852" s="1689">
        <f t="shared" si="165"/>
        <v>0</v>
      </c>
      <c r="I852" s="1689">
        <f t="shared" si="166"/>
        <v>0</v>
      </c>
      <c r="J852" s="1689">
        <f t="shared" si="167"/>
        <v>0</v>
      </c>
      <c r="K852" s="1689">
        <f t="shared" si="167"/>
        <v>0</v>
      </c>
      <c r="L852" s="1689">
        <f t="shared" si="167"/>
        <v>0</v>
      </c>
      <c r="M852" s="1689">
        <f t="shared" si="167"/>
        <v>0</v>
      </c>
      <c r="N852" s="1689">
        <f t="shared" si="167"/>
        <v>0</v>
      </c>
      <c r="O852" s="1689"/>
      <c r="P852" s="1689"/>
      <c r="Q852" s="985"/>
      <c r="R852" s="985"/>
      <c r="S852" s="985"/>
      <c r="T852" s="1858">
        <f t="shared" si="157"/>
        <v>0</v>
      </c>
    </row>
    <row r="853" spans="1:20" ht="22.2" hidden="1" customHeight="1">
      <c r="A853" s="1444">
        <f>COUNTIF($C$12:C853,"x")</f>
        <v>41</v>
      </c>
      <c r="B853" s="1451" t="s">
        <v>1786</v>
      </c>
      <c r="C853" s="966" t="str">
        <f t="shared" si="156"/>
        <v xml:space="preserve"> </v>
      </c>
      <c r="D853" s="1411">
        <v>2</v>
      </c>
      <c r="E853" s="976"/>
      <c r="F853" s="988" t="str">
        <f>VLOOKUP($B853,DG!A:D,DG!$C$2,)</f>
        <v>Boulon 16x50+ 2 long đền vuông D18-50x50x3/Zn</v>
      </c>
      <c r="G853" s="976" t="str">
        <f>VLOOKUP($B853,DG!A:D,DG!$D$2,)</f>
        <v>bộ</v>
      </c>
      <c r="H853" s="1689">
        <f t="shared" si="165"/>
        <v>0</v>
      </c>
      <c r="I853" s="1689">
        <f t="shared" si="166"/>
        <v>0</v>
      </c>
      <c r="J853" s="1689">
        <f t="shared" si="167"/>
        <v>0</v>
      </c>
      <c r="K853" s="1689">
        <f t="shared" si="167"/>
        <v>0</v>
      </c>
      <c r="L853" s="1689">
        <f t="shared" si="167"/>
        <v>0</v>
      </c>
      <c r="M853" s="1689">
        <f t="shared" si="167"/>
        <v>0</v>
      </c>
      <c r="N853" s="1689">
        <f t="shared" si="167"/>
        <v>0</v>
      </c>
      <c r="O853" s="1689"/>
      <c r="P853" s="1689"/>
      <c r="Q853" s="985"/>
      <c r="R853" s="985"/>
      <c r="S853" s="985"/>
      <c r="T853" s="1858">
        <f t="shared" si="157"/>
        <v>0</v>
      </c>
    </row>
    <row r="854" spans="1:20" ht="22.2" hidden="1" customHeight="1">
      <c r="A854" s="1444">
        <f>COUNTIF($C$12:C854,"x")</f>
        <v>41</v>
      </c>
      <c r="B854" s="1451" t="s">
        <v>516</v>
      </c>
      <c r="C854" s="966" t="str">
        <f t="shared" si="156"/>
        <v xml:space="preserve"> </v>
      </c>
      <c r="D854" s="1411">
        <v>1</v>
      </c>
      <c r="E854" s="976" t="str">
        <f>VLOOKUP($B854,DG!A:D,DG!$B$2,)</f>
        <v>05.6102</v>
      </c>
      <c r="F854" s="981" t="str">
        <f>VLOOKUP($B854,DG!A:D,DG!$C$2,)</f>
        <v>Lắp xà đỡ ≤ 50kg</v>
      </c>
      <c r="G854" s="976" t="str">
        <f>VLOOKUP($B854,DG!A:D,DG!$D$2,)</f>
        <v>bộ</v>
      </c>
      <c r="H854" s="1689">
        <f t="shared" si="165"/>
        <v>0</v>
      </c>
      <c r="I854" s="1689">
        <f t="shared" si="166"/>
        <v>0</v>
      </c>
      <c r="J854" s="1689"/>
      <c r="K854" s="1689"/>
      <c r="L854" s="1689"/>
      <c r="M854" s="1689"/>
      <c r="N854" s="1689"/>
      <c r="O854" s="1689"/>
      <c r="P854" s="1689"/>
      <c r="Q854" s="990"/>
      <c r="R854" s="990"/>
      <c r="S854" s="990"/>
      <c r="T854" s="1858">
        <f t="shared" si="157"/>
        <v>0</v>
      </c>
    </row>
    <row r="855" spans="1:20" ht="22.2" hidden="1" customHeight="1">
      <c r="A855" s="1444">
        <f>COUNTIF($C$12:C855,"x")</f>
        <v>41</v>
      </c>
      <c r="B855" s="1451" t="s">
        <v>1996</v>
      </c>
      <c r="C855" s="966" t="str">
        <f t="shared" si="156"/>
        <v xml:space="preserve"> </v>
      </c>
      <c r="D855" s="1409">
        <f>D856</f>
        <v>0</v>
      </c>
      <c r="E855" s="976" t="str">
        <f>VLOOKUP($B855,DG!A:D,DG!$B$2,)</f>
        <v>02.1115</v>
      </c>
      <c r="F855" s="981" t="str">
        <f>VLOOKUP($B855,DG!A:D,DG!$C$2,)</f>
        <v>Bốc dỡ xà, thép thanh</v>
      </c>
      <c r="G855" s="976" t="str">
        <f>VLOOKUP($B855,DG!A:D,DG!$D$2,)</f>
        <v>tấn</v>
      </c>
      <c r="H855" s="1689">
        <f t="shared" si="165"/>
        <v>0</v>
      </c>
      <c r="I855" s="1689">
        <f t="shared" si="166"/>
        <v>0</v>
      </c>
      <c r="J855" s="1689"/>
      <c r="K855" s="1689"/>
      <c r="L855" s="1689"/>
      <c r="M855" s="1689"/>
      <c r="N855" s="1689"/>
      <c r="O855" s="1689"/>
      <c r="P855" s="1689"/>
      <c r="Q855" s="990"/>
      <c r="R855" s="990"/>
      <c r="S855" s="990"/>
      <c r="T855" s="1858">
        <f t="shared" si="157"/>
        <v>0</v>
      </c>
    </row>
    <row r="856" spans="1:20" ht="22.2" hidden="1" customHeight="1">
      <c r="A856" s="1444">
        <f>COUNTIF($C$12:C856,"x")</f>
        <v>41</v>
      </c>
      <c r="B856" s="1460" t="s">
        <v>1997</v>
      </c>
      <c r="C856" s="966" t="str">
        <f t="shared" si="156"/>
        <v xml:space="preserve"> </v>
      </c>
      <c r="D856" s="1409">
        <f>ROUND(SUM(D850:D851)*1.05/1000,3)*0</f>
        <v>0</v>
      </c>
      <c r="E856" s="976" t="str">
        <f>VLOOKUP($B856,DG!A:C,2,)</f>
        <v>02.1361</v>
      </c>
      <c r="F856" s="981" t="str">
        <f>VLOOKUP($B856,DG!A:C,3,)</f>
        <v>V/c xà vào vị trí (cư ly &lt;=100m)</v>
      </c>
      <c r="G856" s="976" t="str">
        <f>VLOOKUP($B856,DG!A:D,4,0)</f>
        <v>tấn</v>
      </c>
      <c r="H856" s="1689">
        <f t="shared" si="165"/>
        <v>0</v>
      </c>
      <c r="I856" s="1689">
        <f t="shared" si="166"/>
        <v>0</v>
      </c>
      <c r="J856" s="1689"/>
      <c r="K856" s="1689"/>
      <c r="L856" s="1689"/>
      <c r="M856" s="1689"/>
      <c r="N856" s="1689"/>
      <c r="O856" s="1689"/>
      <c r="P856" s="1689"/>
      <c r="Q856" s="990"/>
      <c r="R856" s="990"/>
      <c r="S856" s="990"/>
      <c r="T856" s="1858">
        <f t="shared" si="157"/>
        <v>0</v>
      </c>
    </row>
    <row r="857" spans="1:20" ht="22.2" hidden="1" customHeight="1">
      <c r="A857" s="1444">
        <f>COUNTIF($C$12:C857,"x")</f>
        <v>41</v>
      </c>
      <c r="B857" s="1460" t="s">
        <v>635</v>
      </c>
      <c r="C857" s="966" t="str">
        <f t="shared" si="156"/>
        <v xml:space="preserve"> </v>
      </c>
      <c r="D857" s="1410">
        <f>0.05*0</f>
        <v>0</v>
      </c>
      <c r="E857" s="976" t="str">
        <f>VLOOKUP($B857,DG!A:C,2,)</f>
        <v>02.1482</v>
      </c>
      <c r="F857" s="981" t="str">
        <f>VLOOKUP($B857,DG!A:C,3,)</f>
        <v>V/c dụng cụ thi công vào vị trí (cự ly &lt;=100m)</v>
      </c>
      <c r="G857" s="976" t="str">
        <f>VLOOKUP($B857,DG!A:D,4,0)</f>
        <v>tấn</v>
      </c>
      <c r="H857" s="1689">
        <f t="shared" si="165"/>
        <v>0</v>
      </c>
      <c r="I857" s="1689">
        <f t="shared" si="166"/>
        <v>0</v>
      </c>
      <c r="J857" s="1689"/>
      <c r="K857" s="1689"/>
      <c r="L857" s="1689"/>
      <c r="M857" s="1689"/>
      <c r="N857" s="1689"/>
      <c r="O857" s="1689"/>
      <c r="P857" s="1689"/>
      <c r="Q857" s="990"/>
      <c r="R857" s="990"/>
      <c r="S857" s="990"/>
      <c r="T857" s="1858">
        <f t="shared" si="157"/>
        <v>0</v>
      </c>
    </row>
    <row r="858" spans="1:20" ht="22.2" hidden="1" customHeight="1">
      <c r="A858" s="1444">
        <f>COUNTIF($C$12:C858,"x")</f>
        <v>41</v>
      </c>
      <c r="B858" s="1448" t="s">
        <v>1082</v>
      </c>
      <c r="C858" s="966" t="str">
        <f t="shared" si="156"/>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2" hidden="1" customHeight="1">
      <c r="A859" s="1444">
        <f>COUNTIF($C$12:C859,"x")</f>
        <v>41</v>
      </c>
      <c r="B859" s="1464" t="s">
        <v>1879</v>
      </c>
      <c r="C859" s="966" t="str">
        <f t="shared" si="156"/>
        <v xml:space="preserve"> </v>
      </c>
      <c r="D859" s="1410">
        <v>1</v>
      </c>
      <c r="E859" s="976"/>
      <c r="F859" s="981" t="str">
        <f>VLOOKUP($B859,DG!A:D,DG!$C$2,)</f>
        <v>Lắp xà trụ ghép ≤ 140kg</v>
      </c>
      <c r="G859" s="976" t="str">
        <f>VLOOKUP($B859,DG!A:D,DG!$D$2,)</f>
        <v>bộ</v>
      </c>
      <c r="H859" s="1689">
        <f>$H$8448*$D859</f>
        <v>0</v>
      </c>
      <c r="I859" s="1689">
        <f t="shared" ref="I859:N860" si="168">I$858*$D859</f>
        <v>0</v>
      </c>
      <c r="J859" s="1689">
        <f t="shared" si="168"/>
        <v>0</v>
      </c>
      <c r="K859" s="1689">
        <f t="shared" si="168"/>
        <v>0</v>
      </c>
      <c r="L859" s="1689">
        <f t="shared" si="168"/>
        <v>0</v>
      </c>
      <c r="M859" s="1689">
        <f t="shared" si="168"/>
        <v>0</v>
      </c>
      <c r="N859" s="1689">
        <f t="shared" si="168"/>
        <v>0</v>
      </c>
      <c r="O859" s="1689"/>
      <c r="P859" s="1689"/>
      <c r="Q859" s="985"/>
      <c r="R859" s="985"/>
      <c r="S859" s="985"/>
      <c r="T859" s="1858">
        <f t="shared" si="157"/>
        <v>0</v>
      </c>
    </row>
    <row r="860" spans="1:20" ht="22.2" hidden="1" customHeight="1">
      <c r="A860" s="1444">
        <f>COUNTIF($C$12:C860,"x")</f>
        <v>41</v>
      </c>
      <c r="B860" s="1451" t="s">
        <v>1996</v>
      </c>
      <c r="C860" s="966" t="str">
        <f t="shared" si="156"/>
        <v xml:space="preserve"> </v>
      </c>
      <c r="D860" s="1410">
        <f>D861</f>
        <v>0.06</v>
      </c>
      <c r="E860" s="976"/>
      <c r="F860" s="981" t="str">
        <f>VLOOKUP($B860,DG!A:D,DG!$C$2,)</f>
        <v>Bốc dỡ xà, thép thanh</v>
      </c>
      <c r="G860" s="976" t="str">
        <f>VLOOKUP($B860,DG!A:D,DG!$D$2,)</f>
        <v>tấn</v>
      </c>
      <c r="H860" s="1689">
        <f>$H$8448*$D860</f>
        <v>0</v>
      </c>
      <c r="I860" s="1689">
        <f t="shared" si="168"/>
        <v>0</v>
      </c>
      <c r="J860" s="1689">
        <f t="shared" si="168"/>
        <v>0</v>
      </c>
      <c r="K860" s="1689">
        <f t="shared" si="168"/>
        <v>0</v>
      </c>
      <c r="L860" s="1689">
        <f t="shared" si="168"/>
        <v>0</v>
      </c>
      <c r="M860" s="1689">
        <f t="shared" si="168"/>
        <v>0</v>
      </c>
      <c r="N860" s="1689">
        <f t="shared" si="168"/>
        <v>0</v>
      </c>
      <c r="O860" s="1689"/>
      <c r="P860" s="1689"/>
      <c r="Q860" s="985"/>
      <c r="R860" s="985"/>
      <c r="S860" s="985"/>
      <c r="T860" s="1858">
        <f t="shared" si="157"/>
        <v>0</v>
      </c>
    </row>
    <row r="861" spans="1:20" ht="22.2" hidden="1" customHeight="1">
      <c r="A861" s="1444">
        <f>COUNTIF($C$12:C861,"x")</f>
        <v>41</v>
      </c>
      <c r="B861" s="1460" t="s">
        <v>1997</v>
      </c>
      <c r="C861" s="966" t="str">
        <f t="shared" si="156"/>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7"/>
        <v>0</v>
      </c>
    </row>
    <row r="862" spans="1:20" ht="22.2" hidden="1" customHeight="1">
      <c r="A862" s="1444">
        <f>COUNTIF($C$12:C862,"x")</f>
        <v>41</v>
      </c>
      <c r="B862" s="1460" t="s">
        <v>635</v>
      </c>
      <c r="C862" s="966" t="str">
        <f t="shared" si="156"/>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7"/>
        <v>0</v>
      </c>
    </row>
    <row r="863" spans="1:20" ht="22.2" hidden="1" customHeight="1">
      <c r="A863" s="1444">
        <f>COUNTIF($C$12:C863,"x")</f>
        <v>41</v>
      </c>
      <c r="B863" s="1448" t="s">
        <v>2295</v>
      </c>
      <c r="C863" s="1697" t="str">
        <f t="shared" ref="C863:C873" si="169">IF(OR(P863&lt;&gt;0,H863&lt;&gt;0),"x"," ")</f>
        <v xml:space="preserve"> </v>
      </c>
      <c r="D863" s="1408"/>
      <c r="E863" s="977"/>
      <c r="F863" s="1272" t="s">
        <v>4325</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2" hidden="1" customHeight="1">
      <c r="A864" s="1444">
        <f>COUNTIF($C$12:C864,"x")</f>
        <v>41</v>
      </c>
      <c r="B864" s="1447" t="s">
        <v>4816</v>
      </c>
      <c r="C864" s="1697" t="str">
        <f t="shared" si="169"/>
        <v xml:space="preserve"> </v>
      </c>
      <c r="D864" s="1411">
        <v>2</v>
      </c>
      <c r="E864" s="976"/>
      <c r="F864" s="988" t="str">
        <f>VLOOKUP($B864,DG!A:D,DG!$C$2,)</f>
        <v>Sắt góc L75 x75 x8 x2200</v>
      </c>
      <c r="G864" s="976" t="str">
        <f>VLOOKUP($B864,DG!A:D,DG!$D$2,)</f>
        <v>cái</v>
      </c>
      <c r="H864" s="1689">
        <f t="shared" ref="H864:N865" si="170">H$863*$D864</f>
        <v>0</v>
      </c>
      <c r="I864" s="1689">
        <f t="shared" si="170"/>
        <v>0</v>
      </c>
      <c r="J864" s="1689">
        <f t="shared" si="170"/>
        <v>0</v>
      </c>
      <c r="K864" s="1689">
        <f t="shared" si="170"/>
        <v>0</v>
      </c>
      <c r="L864" s="1689">
        <f t="shared" si="170"/>
        <v>0</v>
      </c>
      <c r="M864" s="1689">
        <f t="shared" si="170"/>
        <v>0</v>
      </c>
      <c r="N864" s="1689">
        <f t="shared" si="170"/>
        <v>0</v>
      </c>
      <c r="O864" s="1689"/>
      <c r="P864" s="1689">
        <f>$P$863*D864</f>
        <v>0</v>
      </c>
      <c r="Q864" s="991">
        <f t="shared" ref="Q864:Q870" si="171">$Q$863*D864</f>
        <v>0</v>
      </c>
      <c r="R864" s="991">
        <f t="shared" ref="R864:R873" si="172">$R$863*D864</f>
        <v>0</v>
      </c>
      <c r="S864" s="985"/>
      <c r="T864" s="1858">
        <f>IFERROR(HLOOKUP(B864,BangKeTru,3,0),0)</f>
        <v>0</v>
      </c>
    </row>
    <row r="865" spans="1:20" ht="22.2" hidden="1" customHeight="1">
      <c r="A865" s="1444">
        <f>COUNTIF($C$12:C865,"x")</f>
        <v>41</v>
      </c>
      <c r="B865" s="1447" t="s">
        <v>4924</v>
      </c>
      <c r="C865" s="1697" t="str">
        <f t="shared" si="169"/>
        <v xml:space="preserve"> </v>
      </c>
      <c r="D865" s="1411">
        <v>4</v>
      </c>
      <c r="E865" s="976"/>
      <c r="F865" s="988" t="str">
        <f>VLOOKUP($B865,DG!A:D,DG!$C$2,)</f>
        <v>Sắt góc L50 x50 x5 - 810</v>
      </c>
      <c r="G865" s="976" t="str">
        <f>VLOOKUP($B865,DG!A:D,DG!$D$2,)</f>
        <v>cái</v>
      </c>
      <c r="H865" s="1689">
        <f t="shared" si="170"/>
        <v>0</v>
      </c>
      <c r="I865" s="1689">
        <f t="shared" si="170"/>
        <v>0</v>
      </c>
      <c r="J865" s="1689">
        <f t="shared" si="170"/>
        <v>0</v>
      </c>
      <c r="K865" s="1689">
        <f t="shared" si="170"/>
        <v>0</v>
      </c>
      <c r="L865" s="1689">
        <f t="shared" si="170"/>
        <v>0</v>
      </c>
      <c r="M865" s="1689">
        <f t="shared" si="170"/>
        <v>0</v>
      </c>
      <c r="N865" s="1689">
        <f t="shared" si="170"/>
        <v>0</v>
      </c>
      <c r="O865" s="1689"/>
      <c r="P865" s="1689">
        <f>$P$863*D865</f>
        <v>0</v>
      </c>
      <c r="Q865" s="991">
        <f t="shared" si="171"/>
        <v>0</v>
      </c>
      <c r="R865" s="991">
        <f t="shared" si="172"/>
        <v>0</v>
      </c>
      <c r="S865" s="985"/>
      <c r="T865" s="1858">
        <f>IFERROR(HLOOKUP(B865,BangKeTru,3,0),0)</f>
        <v>0</v>
      </c>
    </row>
    <row r="866" spans="1:20" ht="22.2" hidden="1" customHeight="1">
      <c r="A866" s="1444">
        <f>COUNTIF($C$12:C866,"x")</f>
        <v>41</v>
      </c>
      <c r="B866" s="1447" t="s">
        <v>1609</v>
      </c>
      <c r="C866" s="1697" t="str">
        <f t="shared" si="169"/>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71"/>
        <v>0</v>
      </c>
      <c r="R866" s="985">
        <f t="shared" si="172"/>
        <v>0</v>
      </c>
      <c r="S866" s="985"/>
      <c r="T866" s="1858">
        <f>IFERROR(HLOOKUP(B866,BangKeTru,3,0),0)</f>
        <v>0</v>
      </c>
    </row>
    <row r="867" spans="1:20" ht="22.2" hidden="1" customHeight="1">
      <c r="A867" s="1444">
        <f>COUNTIF($C$12:C867,"x")</f>
        <v>41</v>
      </c>
      <c r="B867" s="1447" t="s">
        <v>1610</v>
      </c>
      <c r="C867" s="1697" t="str">
        <f t="shared" si="169"/>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71"/>
        <v>0</v>
      </c>
      <c r="R867" s="985">
        <f t="shared" si="172"/>
        <v>0</v>
      </c>
      <c r="S867" s="985"/>
      <c r="T867" s="1858">
        <f>IFERROR(HLOOKUP(B867,BangKeTru,3,0),0)</f>
        <v>0</v>
      </c>
    </row>
    <row r="868" spans="1:20" ht="22.2" hidden="1" customHeight="1">
      <c r="A868" s="1444">
        <f>COUNTIF($C$12:C868,"x")</f>
        <v>41</v>
      </c>
      <c r="B868" s="1447" t="s">
        <v>415</v>
      </c>
      <c r="C868" s="1697" t="str">
        <f t="shared" si="169"/>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71"/>
        <v>0</v>
      </c>
      <c r="R868" s="985">
        <f t="shared" si="172"/>
        <v>0</v>
      </c>
      <c r="S868" s="985"/>
      <c r="T868" s="1858">
        <f>IFERROR(HLOOKUP(B868,BangKeTru,3,0),0)</f>
        <v>0</v>
      </c>
    </row>
    <row r="869" spans="1:20" ht="22.2" hidden="1" customHeight="1">
      <c r="A869" s="1444">
        <f>COUNTIF($C$12:C869,"x")</f>
        <v>41</v>
      </c>
      <c r="B869" s="1447" t="s">
        <v>1786</v>
      </c>
      <c r="C869" s="1697" t="str">
        <f t="shared" si="169"/>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71"/>
        <v>0</v>
      </c>
      <c r="R869" s="985">
        <f t="shared" si="172"/>
        <v>0</v>
      </c>
      <c r="S869" s="985"/>
      <c r="T869" s="1858">
        <f>IFERROR(HLOOKUP(B869,BangKeTru,3,0),0)</f>
        <v>0</v>
      </c>
    </row>
    <row r="870" spans="1:20" ht="22.2" hidden="1" customHeight="1">
      <c r="A870" s="1444">
        <f>COUNTIF($C$12:C870,"x")</f>
        <v>41</v>
      </c>
      <c r="B870" s="1447" t="s">
        <v>517</v>
      </c>
      <c r="C870" s="1697" t="str">
        <f t="shared" si="169"/>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71"/>
        <v>0</v>
      </c>
      <c r="R870" s="985">
        <f t="shared" si="172"/>
        <v>0</v>
      </c>
      <c r="S870" s="990"/>
      <c r="T870" s="1858">
        <f>IFERROR(HLOOKUP(B870,BangKeTru,3,0),0)</f>
        <v>0</v>
      </c>
    </row>
    <row r="871" spans="1:20" ht="22.2" hidden="1" customHeight="1">
      <c r="A871" s="1444">
        <f>COUNTIF($C$12:C871,"x")</f>
        <v>41</v>
      </c>
      <c r="B871" s="1451" t="s">
        <v>1996</v>
      </c>
      <c r="C871" s="966" t="str">
        <f t="shared" si="169"/>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72"/>
        <v>0</v>
      </c>
      <c r="S871" s="990"/>
      <c r="T871" s="1858">
        <f>IFERROR(HLOOKUP(B871,BangKeTru,3,0),0)</f>
        <v>0</v>
      </c>
    </row>
    <row r="872" spans="1:20" ht="22.2" hidden="1" customHeight="1">
      <c r="A872" s="1444">
        <f>COUNTIF($C$12:C872,"x")</f>
        <v>41</v>
      </c>
      <c r="B872" s="1460" t="s">
        <v>1997</v>
      </c>
      <c r="C872" s="966" t="str">
        <f t="shared" si="169"/>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72"/>
        <v>0</v>
      </c>
      <c r="S872" s="990"/>
      <c r="T872" s="1858">
        <f>IFERROR(HLOOKUP(B872,BangKeTru,3,0),0)</f>
        <v>0</v>
      </c>
    </row>
    <row r="873" spans="1:20" ht="22.2" hidden="1" customHeight="1">
      <c r="A873" s="1444">
        <f>COUNTIF($C$12:C873,"x")</f>
        <v>41</v>
      </c>
      <c r="B873" s="1460" t="s">
        <v>635</v>
      </c>
      <c r="C873" s="966" t="str">
        <f t="shared" si="169"/>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72"/>
        <v>0</v>
      </c>
      <c r="S873" s="990"/>
      <c r="T873" s="1858">
        <f>IFERROR(HLOOKUP(B873,BangKeTru,3,0),0)</f>
        <v>0</v>
      </c>
    </row>
    <row r="874" spans="1:20" ht="22.2" hidden="1" customHeight="1">
      <c r="A874" s="1444">
        <f>COUNTIF($C$12:C874,"x")</f>
        <v>41</v>
      </c>
      <c r="B874" s="1448" t="s">
        <v>533</v>
      </c>
      <c r="C874" s="966" t="str">
        <f t="shared" si="156"/>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2" hidden="1" customHeight="1">
      <c r="A875" s="1444">
        <f>COUNTIF($C$12:C875,"x")</f>
        <v>41</v>
      </c>
      <c r="B875" s="1447" t="s">
        <v>4816</v>
      </c>
      <c r="C875" s="966" t="str">
        <f t="shared" ref="C875:C949" si="173">IF(OR(P875&lt;&gt;0,H875&lt;&gt;0),"x"," ")</f>
        <v xml:space="preserve"> </v>
      </c>
      <c r="D875" s="1410">
        <v>2</v>
      </c>
      <c r="E875" s="976"/>
      <c r="F875" s="988" t="str">
        <f>VLOOKUP($B875,DG!A:D,DG!$C$2,)</f>
        <v>Sắt góc L75 x75 x8 x2200</v>
      </c>
      <c r="G875" s="976" t="str">
        <f>VLOOKUP($B875,DG!A:D,DG!$D$2,)</f>
        <v>cái</v>
      </c>
      <c r="H875" s="1689">
        <f t="shared" ref="H875:H881" si="174">$H$874*$D875</f>
        <v>0</v>
      </c>
      <c r="I875" s="1689">
        <f t="shared" ref="I875:J880" si="175">I$863*$D875</f>
        <v>0</v>
      </c>
      <c r="J875" s="1689">
        <f t="shared" si="175"/>
        <v>0</v>
      </c>
      <c r="K875" s="1689">
        <f t="shared" ref="K875:K880" si="176">K$874*$D875</f>
        <v>0</v>
      </c>
      <c r="L875" s="1689">
        <f t="shared" ref="L875:N880" si="177">L$863*$D875</f>
        <v>0</v>
      </c>
      <c r="M875" s="1689">
        <f t="shared" si="177"/>
        <v>0</v>
      </c>
      <c r="N875" s="1689">
        <f t="shared" si="177"/>
        <v>0</v>
      </c>
      <c r="O875" s="1689"/>
      <c r="P875" s="1689">
        <f t="shared" ref="P875:P881" si="178">$P$874*D875</f>
        <v>0</v>
      </c>
      <c r="Q875" s="1689">
        <f t="shared" ref="Q875:Q881" si="179">$Q$874*D875</f>
        <v>0</v>
      </c>
      <c r="R875" s="985"/>
      <c r="S875" s="985"/>
      <c r="T875" s="1858">
        <f t="shared" si="157"/>
        <v>0</v>
      </c>
    </row>
    <row r="876" spans="1:20" ht="22.2" hidden="1" customHeight="1">
      <c r="A876" s="1444">
        <f>COUNTIF($C$12:C876,"x")</f>
        <v>41</v>
      </c>
      <c r="B876" s="1447" t="s">
        <v>4924</v>
      </c>
      <c r="C876" s="966" t="str">
        <f t="shared" si="173"/>
        <v xml:space="preserve"> </v>
      </c>
      <c r="D876" s="1410">
        <v>4</v>
      </c>
      <c r="E876" s="976"/>
      <c r="F876" s="988" t="str">
        <f>VLOOKUP($B876,DG!A:D,DG!$C$2,)</f>
        <v>Sắt góc L50 x50 x5 - 810</v>
      </c>
      <c r="G876" s="976" t="str">
        <f>VLOOKUP($B876,DG!A:D,DG!$D$2,)</f>
        <v>cái</v>
      </c>
      <c r="H876" s="1689">
        <f t="shared" si="174"/>
        <v>0</v>
      </c>
      <c r="I876" s="1689">
        <f t="shared" si="175"/>
        <v>0</v>
      </c>
      <c r="J876" s="1689">
        <f t="shared" si="175"/>
        <v>0</v>
      </c>
      <c r="K876" s="1689">
        <f t="shared" si="176"/>
        <v>0</v>
      </c>
      <c r="L876" s="1689">
        <f t="shared" si="177"/>
        <v>0</v>
      </c>
      <c r="M876" s="1689">
        <f t="shared" si="177"/>
        <v>0</v>
      </c>
      <c r="N876" s="1689">
        <f t="shared" si="177"/>
        <v>0</v>
      </c>
      <c r="O876" s="1689"/>
      <c r="P876" s="1689">
        <f t="shared" si="178"/>
        <v>0</v>
      </c>
      <c r="Q876" s="1689">
        <f t="shared" si="179"/>
        <v>0</v>
      </c>
      <c r="R876" s="985"/>
      <c r="S876" s="985"/>
      <c r="T876" s="1858">
        <f t="shared" si="157"/>
        <v>0</v>
      </c>
    </row>
    <row r="877" spans="1:20" ht="22.2" hidden="1" customHeight="1">
      <c r="A877" s="1444">
        <f>COUNTIF($C$12:C877,"x")</f>
        <v>41</v>
      </c>
      <c r="B877" s="1447" t="s">
        <v>1539</v>
      </c>
      <c r="C877" s="966" t="str">
        <f t="shared" si="173"/>
        <v xml:space="preserve"> </v>
      </c>
      <c r="D877" s="1411">
        <v>1</v>
      </c>
      <c r="E877" s="976"/>
      <c r="F877" s="988" t="str">
        <f>VLOOKUP($B877,DG!A:D,DG!$C$2,)</f>
        <v>Boulon 16x500+ 2 long đền vuông D18-50x50x3/Zn</v>
      </c>
      <c r="G877" s="976" t="str">
        <f>VLOOKUP($B877,DG!A:D,DG!$D$2,)</f>
        <v>bộ</v>
      </c>
      <c r="H877" s="1689">
        <f t="shared" si="174"/>
        <v>0</v>
      </c>
      <c r="I877" s="1689">
        <f t="shared" si="175"/>
        <v>0</v>
      </c>
      <c r="J877" s="1689">
        <f t="shared" si="175"/>
        <v>0</v>
      </c>
      <c r="K877" s="1689">
        <f t="shared" si="176"/>
        <v>0</v>
      </c>
      <c r="L877" s="1689">
        <f t="shared" si="177"/>
        <v>0</v>
      </c>
      <c r="M877" s="1689">
        <f t="shared" si="177"/>
        <v>0</v>
      </c>
      <c r="N877" s="1689">
        <f t="shared" si="177"/>
        <v>0</v>
      </c>
      <c r="O877" s="1689"/>
      <c r="P877" s="1689">
        <f t="shared" si="178"/>
        <v>0</v>
      </c>
      <c r="Q877" s="1689">
        <f t="shared" si="179"/>
        <v>0</v>
      </c>
      <c r="R877" s="985"/>
      <c r="S877" s="985"/>
      <c r="T877" s="1858">
        <f t="shared" si="157"/>
        <v>0</v>
      </c>
    </row>
    <row r="878" spans="1:20" ht="22.2" hidden="1" customHeight="1">
      <c r="A878" s="1444">
        <f>COUNTIF($C$12:C878,"x")</f>
        <v>41</v>
      </c>
      <c r="B878" s="1447" t="s">
        <v>1782</v>
      </c>
      <c r="C878" s="966" t="str">
        <f t="shared" si="173"/>
        <v xml:space="preserve"> </v>
      </c>
      <c r="D878" s="1411">
        <v>1</v>
      </c>
      <c r="E878" s="976"/>
      <c r="F878" s="988" t="str">
        <f>VLOOKUP($B878,DG!A:D,DG!$C$2,)</f>
        <v>Boulon 16x600+ 2 long đền vuông D18-50x50x3/Zn</v>
      </c>
      <c r="G878" s="976" t="str">
        <f>VLOOKUP($B878,DG!A:D,DG!$D$2,)</f>
        <v>bộ</v>
      </c>
      <c r="H878" s="1689">
        <f t="shared" si="174"/>
        <v>0</v>
      </c>
      <c r="I878" s="1689">
        <f t="shared" si="175"/>
        <v>0</v>
      </c>
      <c r="J878" s="1689">
        <f t="shared" si="175"/>
        <v>0</v>
      </c>
      <c r="K878" s="1689">
        <f t="shared" si="176"/>
        <v>0</v>
      </c>
      <c r="L878" s="1689">
        <f t="shared" si="177"/>
        <v>0</v>
      </c>
      <c r="M878" s="1689">
        <f t="shared" si="177"/>
        <v>0</v>
      </c>
      <c r="N878" s="1689">
        <f t="shared" si="177"/>
        <v>0</v>
      </c>
      <c r="O878" s="1689"/>
      <c r="P878" s="1689">
        <f t="shared" si="178"/>
        <v>0</v>
      </c>
      <c r="Q878" s="1689">
        <f t="shared" si="179"/>
        <v>0</v>
      </c>
      <c r="R878" s="985"/>
      <c r="S878" s="985"/>
      <c r="T878" s="1858">
        <f t="shared" si="157"/>
        <v>0</v>
      </c>
    </row>
    <row r="879" spans="1:20" ht="22.2" hidden="1" customHeight="1">
      <c r="A879" s="1444">
        <f>COUNTIF($C$12:C879,"x")</f>
        <v>41</v>
      </c>
      <c r="B879" s="1447" t="s">
        <v>532</v>
      </c>
      <c r="C879" s="966" t="str">
        <f t="shared" si="173"/>
        <v xml:space="preserve"> </v>
      </c>
      <c r="D879" s="1411">
        <v>2</v>
      </c>
      <c r="E879" s="976"/>
      <c r="F879" s="988" t="str">
        <f>VLOOKUP($B879,DG!A:D,DG!$C$2,)</f>
        <v>Boulon 16x550VRS+ 4 long đền vuông D18-50x50x3/Zn</v>
      </c>
      <c r="G879" s="976" t="str">
        <f>VLOOKUP($B879,DG!A:D,DG!$D$2,)</f>
        <v>bộ</v>
      </c>
      <c r="H879" s="1689">
        <f t="shared" si="174"/>
        <v>0</v>
      </c>
      <c r="I879" s="1689">
        <f t="shared" si="175"/>
        <v>0</v>
      </c>
      <c r="J879" s="1689">
        <f t="shared" si="175"/>
        <v>0</v>
      </c>
      <c r="K879" s="1689">
        <f t="shared" si="176"/>
        <v>0</v>
      </c>
      <c r="L879" s="1689">
        <f t="shared" si="177"/>
        <v>0</v>
      </c>
      <c r="M879" s="1689">
        <f t="shared" si="177"/>
        <v>0</v>
      </c>
      <c r="N879" s="1689">
        <f t="shared" si="177"/>
        <v>0</v>
      </c>
      <c r="O879" s="1689"/>
      <c r="P879" s="1689">
        <f t="shared" si="178"/>
        <v>0</v>
      </c>
      <c r="Q879" s="1689">
        <f t="shared" si="179"/>
        <v>0</v>
      </c>
      <c r="R879" s="985"/>
      <c r="S879" s="985"/>
      <c r="T879" s="1858">
        <f t="shared" si="157"/>
        <v>0</v>
      </c>
    </row>
    <row r="880" spans="1:20" ht="22.2" hidden="1" customHeight="1">
      <c r="A880" s="1444">
        <f>COUNTIF($C$12:C880,"x")</f>
        <v>41</v>
      </c>
      <c r="B880" s="1447" t="s">
        <v>1786</v>
      </c>
      <c r="C880" s="966" t="str">
        <f t="shared" si="173"/>
        <v xml:space="preserve"> </v>
      </c>
      <c r="D880" s="1411">
        <v>4</v>
      </c>
      <c r="E880" s="976"/>
      <c r="F880" s="988" t="str">
        <f>VLOOKUP($B880,DG!A:D,DG!$C$2,)</f>
        <v>Boulon 16x50+ 2 long đền vuông D18-50x50x3/Zn</v>
      </c>
      <c r="G880" s="976" t="str">
        <f>VLOOKUP($B880,DG!A:D,DG!$D$2,)</f>
        <v>bộ</v>
      </c>
      <c r="H880" s="1689">
        <f t="shared" si="174"/>
        <v>0</v>
      </c>
      <c r="I880" s="1689">
        <f t="shared" si="175"/>
        <v>0</v>
      </c>
      <c r="J880" s="1689">
        <f t="shared" si="175"/>
        <v>0</v>
      </c>
      <c r="K880" s="1689">
        <f t="shared" si="176"/>
        <v>0</v>
      </c>
      <c r="L880" s="1689">
        <f t="shared" si="177"/>
        <v>0</v>
      </c>
      <c r="M880" s="1689">
        <f t="shared" si="177"/>
        <v>0</v>
      </c>
      <c r="N880" s="1689">
        <f t="shared" si="177"/>
        <v>0</v>
      </c>
      <c r="O880" s="1689"/>
      <c r="P880" s="1689">
        <f t="shared" si="178"/>
        <v>0</v>
      </c>
      <c r="Q880" s="1689">
        <f t="shared" si="179"/>
        <v>0</v>
      </c>
      <c r="R880" s="985"/>
      <c r="S880" s="985"/>
      <c r="T880" s="1858">
        <f t="shared" si="157"/>
        <v>0</v>
      </c>
    </row>
    <row r="881" spans="1:20" ht="22.2" hidden="1" customHeight="1">
      <c r="A881" s="1444">
        <f>COUNTIF($C$12:C881,"x")</f>
        <v>41</v>
      </c>
      <c r="B881" s="1447" t="s">
        <v>517</v>
      </c>
      <c r="C881" s="966" t="str">
        <f t="shared" si="173"/>
        <v xml:space="preserve"> </v>
      </c>
      <c r="D881" s="1411">
        <v>1</v>
      </c>
      <c r="E881" s="992" t="str">
        <f>VLOOKUP($B881,DG!A:D,DG!$B$2,)</f>
        <v>05.6203</v>
      </c>
      <c r="F881" s="981" t="str">
        <f>VLOOKUP($B881,DG!A:D,DG!$C$2,)</f>
        <v>Lắp xà néo ≤ 100kg</v>
      </c>
      <c r="G881" s="976" t="str">
        <f>VLOOKUP($B881,DG!A:D,DG!$D$2,)</f>
        <v>bộ</v>
      </c>
      <c r="H881" s="1689">
        <f t="shared" si="174"/>
        <v>0</v>
      </c>
      <c r="I881" s="1689"/>
      <c r="J881" s="1689"/>
      <c r="K881" s="1689"/>
      <c r="L881" s="1689"/>
      <c r="M881" s="1689"/>
      <c r="N881" s="1689"/>
      <c r="O881" s="1689"/>
      <c r="P881" s="1689">
        <f t="shared" si="178"/>
        <v>0</v>
      </c>
      <c r="Q881" s="1689">
        <f t="shared" si="179"/>
        <v>0</v>
      </c>
      <c r="R881" s="990"/>
      <c r="S881" s="990"/>
      <c r="T881" s="1858">
        <f t="shared" ref="T881:T955" si="180">IFERROR(HLOOKUP(B881,BangKeTru,3,0),0)</f>
        <v>0</v>
      </c>
    </row>
    <row r="882" spans="1:20" ht="22.2" hidden="1" customHeight="1">
      <c r="A882" s="1444">
        <f>COUNTIF($C$12:C882,"x")</f>
        <v>41</v>
      </c>
      <c r="B882" s="1451" t="s">
        <v>1996</v>
      </c>
      <c r="C882" s="966" t="str">
        <f t="shared" si="173"/>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80"/>
        <v>0</v>
      </c>
    </row>
    <row r="883" spans="1:20" ht="22.2" hidden="1" customHeight="1">
      <c r="A883" s="1444">
        <f>COUNTIF($C$12:C883,"x")</f>
        <v>41</v>
      </c>
      <c r="B883" s="1460" t="s">
        <v>1997</v>
      </c>
      <c r="C883" s="966" t="str">
        <f t="shared" si="173"/>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80"/>
        <v>0</v>
      </c>
    </row>
    <row r="884" spans="1:20" ht="22.2" hidden="1" customHeight="1">
      <c r="A884" s="1444">
        <f>COUNTIF($C$12:C884,"x")</f>
        <v>41</v>
      </c>
      <c r="B884" s="1460" t="s">
        <v>635</v>
      </c>
      <c r="C884" s="966" t="str">
        <f t="shared" si="173"/>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80"/>
        <v>0</v>
      </c>
    </row>
    <row r="885" spans="1:20" ht="22.2" hidden="1" customHeight="1">
      <c r="A885" s="1444">
        <f>COUNTIF($C$12:C885,"x")</f>
        <v>41</v>
      </c>
      <c r="B885" s="1460"/>
      <c r="C885" s="966" t="str">
        <f t="shared" si="173"/>
        <v xml:space="preserve"> </v>
      </c>
      <c r="D885" s="1410"/>
      <c r="E885" s="976"/>
      <c r="F885" s="988"/>
      <c r="G885" s="976"/>
      <c r="H885" s="1689"/>
      <c r="I885" s="1689"/>
      <c r="J885" s="1689"/>
      <c r="K885" s="1689"/>
      <c r="L885" s="1689"/>
      <c r="M885" s="1689"/>
      <c r="N885" s="1689"/>
      <c r="O885" s="1689"/>
      <c r="P885" s="1689"/>
      <c r="Q885" s="990"/>
      <c r="R885" s="990"/>
      <c r="S885" s="990"/>
      <c r="T885" s="1858">
        <f t="shared" si="180"/>
        <v>0</v>
      </c>
    </row>
    <row r="886" spans="1:20" ht="22.2" hidden="1" customHeight="1">
      <c r="A886" s="1444">
        <f>COUNTIF($C$12:C886,"x")</f>
        <v>41</v>
      </c>
      <c r="B886" s="1460"/>
      <c r="C886" s="966" t="str">
        <f t="shared" si="173"/>
        <v xml:space="preserve"> </v>
      </c>
      <c r="D886" s="1410"/>
      <c r="E886" s="976"/>
      <c r="F886" s="988"/>
      <c r="G886" s="976"/>
      <c r="H886" s="1689"/>
      <c r="I886" s="1689"/>
      <c r="J886" s="1689"/>
      <c r="K886" s="1689"/>
      <c r="L886" s="1689"/>
      <c r="M886" s="1689"/>
      <c r="N886" s="1689"/>
      <c r="O886" s="1689"/>
      <c r="P886" s="1689"/>
      <c r="Q886" s="990"/>
      <c r="R886" s="990"/>
      <c r="S886" s="990"/>
      <c r="T886" s="1858">
        <f t="shared" si="180"/>
        <v>0</v>
      </c>
    </row>
    <row r="887" spans="1:20" ht="22.2" hidden="1" customHeight="1">
      <c r="A887" s="1444">
        <f>COUNTIF($C$12:C887,"x")</f>
        <v>41</v>
      </c>
      <c r="B887" s="1448" t="s">
        <v>4808</v>
      </c>
      <c r="C887" s="966" t="str">
        <f t="shared" si="173"/>
        <v xml:space="preserve"> </v>
      </c>
      <c r="D887" s="1408"/>
      <c r="E887" s="977"/>
      <c r="F887" s="1272" t="s">
        <v>4810</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2" hidden="1" customHeight="1">
      <c r="A888" s="1444">
        <f>COUNTIF($C$12:C888,"x")</f>
        <v>41</v>
      </c>
      <c r="B888" s="1451" t="s">
        <v>4816</v>
      </c>
      <c r="C888" s="966" t="str">
        <f t="shared" si="173"/>
        <v xml:space="preserve"> </v>
      </c>
      <c r="D888" s="1410">
        <v>1</v>
      </c>
      <c r="E888" s="976"/>
      <c r="F888" s="988" t="str">
        <f>VLOOKUP($B888,DG!A:D,DG!$C$2,)</f>
        <v>Sắt góc L75 x75 x8 x2200</v>
      </c>
      <c r="G888" s="976" t="str">
        <f>VLOOKUP($B888,DG!A:D,DG!$D$2,)</f>
        <v>cái</v>
      </c>
      <c r="H888" s="1990">
        <f t="shared" ref="H888:R888" si="181">H$887*$D888</f>
        <v>0</v>
      </c>
      <c r="I888" s="1689">
        <f t="shared" si="181"/>
        <v>0</v>
      </c>
      <c r="J888" s="1689">
        <f t="shared" si="181"/>
        <v>0</v>
      </c>
      <c r="K888" s="1689">
        <f t="shared" si="181"/>
        <v>0</v>
      </c>
      <c r="L888" s="1689">
        <f t="shared" si="181"/>
        <v>0</v>
      </c>
      <c r="M888" s="1689">
        <f t="shared" si="181"/>
        <v>0</v>
      </c>
      <c r="N888" s="1689">
        <f t="shared" si="181"/>
        <v>0</v>
      </c>
      <c r="O888" s="1689">
        <f t="shared" si="181"/>
        <v>0</v>
      </c>
      <c r="P888" s="1990">
        <f t="shared" si="181"/>
        <v>0</v>
      </c>
      <c r="Q888" s="1689">
        <f t="shared" si="181"/>
        <v>0</v>
      </c>
      <c r="R888" s="1689">
        <f t="shared" si="181"/>
        <v>0</v>
      </c>
      <c r="S888" s="985"/>
      <c r="T888" s="1858">
        <f t="shared" si="180"/>
        <v>0</v>
      </c>
    </row>
    <row r="889" spans="1:20" ht="22.2" hidden="1" customHeight="1">
      <c r="A889" s="1444">
        <f>COUNTIF($C$12:C889,"x")</f>
        <v>41</v>
      </c>
      <c r="B889" s="1451" t="s">
        <v>4817</v>
      </c>
      <c r="C889" s="966" t="str">
        <f t="shared" si="173"/>
        <v xml:space="preserve"> </v>
      </c>
      <c r="D889" s="1410">
        <v>2</v>
      </c>
      <c r="E889" s="976"/>
      <c r="F889" s="988" t="str">
        <f>VLOOKUP($B889,DG!A:D,DG!$C$2,)</f>
        <v>Sắt góc L50 x50 x5 x920</v>
      </c>
      <c r="G889" s="976" t="str">
        <f>VLOOKUP($B889,DG!A:D,DG!$D$2,)</f>
        <v>cái</v>
      </c>
      <c r="H889" s="1990">
        <f>H$887*$D889</f>
        <v>0</v>
      </c>
      <c r="I889" s="1689">
        <f t="shared" ref="I889:J893" si="182">I$863*$D889</f>
        <v>0</v>
      </c>
      <c r="J889" s="1689">
        <f t="shared" si="182"/>
        <v>0</v>
      </c>
      <c r="K889" s="1689">
        <f>K$887*$D889</f>
        <v>0</v>
      </c>
      <c r="L889" s="1689">
        <f t="shared" ref="L889:N893" si="183">L$863*$D889</f>
        <v>0</v>
      </c>
      <c r="M889" s="1689">
        <f t="shared" si="183"/>
        <v>0</v>
      </c>
      <c r="N889" s="1689">
        <f t="shared" si="183"/>
        <v>0</v>
      </c>
      <c r="O889" s="1689"/>
      <c r="P889" s="1990">
        <f t="shared" ref="P889:R893" si="184">P$887*$D889</f>
        <v>0</v>
      </c>
      <c r="Q889" s="1689">
        <f t="shared" si="184"/>
        <v>0</v>
      </c>
      <c r="R889" s="1689">
        <f t="shared" si="184"/>
        <v>0</v>
      </c>
      <c r="S889" s="985"/>
      <c r="T889" s="1858">
        <f t="shared" si="180"/>
        <v>0</v>
      </c>
    </row>
    <row r="890" spans="1:20" ht="22.2" hidden="1" customHeight="1">
      <c r="A890" s="1444">
        <f>COUNTIF($C$12:C890,"x")</f>
        <v>41</v>
      </c>
      <c r="B890" s="1451" t="s">
        <v>1609</v>
      </c>
      <c r="C890" s="966" t="str">
        <f t="shared" si="173"/>
        <v xml:space="preserve"> </v>
      </c>
      <c r="D890" s="1411">
        <v>1</v>
      </c>
      <c r="E890" s="976"/>
      <c r="F890" s="988" t="str">
        <f>VLOOKUP($B890,DG!A:D,DG!$C$2,)</f>
        <v>Boulon 16x250+ 2 long đền vuông D18-50x50x3/Zn</v>
      </c>
      <c r="G890" s="976" t="str">
        <f>VLOOKUP($B890,DG!A:D,DG!$D$2,)</f>
        <v>bộ</v>
      </c>
      <c r="H890" s="1689">
        <f>H$887*$D890</f>
        <v>0</v>
      </c>
      <c r="I890" s="1689">
        <f t="shared" si="182"/>
        <v>0</v>
      </c>
      <c r="J890" s="1689">
        <f t="shared" si="182"/>
        <v>0</v>
      </c>
      <c r="K890" s="1689">
        <f>K$887*$D890</f>
        <v>0</v>
      </c>
      <c r="L890" s="1689">
        <f t="shared" si="183"/>
        <v>0</v>
      </c>
      <c r="M890" s="1689">
        <f t="shared" si="183"/>
        <v>0</v>
      </c>
      <c r="N890" s="1689">
        <f t="shared" si="183"/>
        <v>0</v>
      </c>
      <c r="O890" s="1689"/>
      <c r="P890" s="1689">
        <f t="shared" si="184"/>
        <v>0</v>
      </c>
      <c r="Q890" s="1689">
        <f t="shared" si="184"/>
        <v>0</v>
      </c>
      <c r="R890" s="1689">
        <f t="shared" si="184"/>
        <v>0</v>
      </c>
      <c r="S890" s="985"/>
      <c r="T890" s="1858">
        <f t="shared" si="180"/>
        <v>0</v>
      </c>
    </row>
    <row r="891" spans="1:20" ht="22.2" hidden="1" customHeight="1">
      <c r="A891" s="1444">
        <f>COUNTIF($C$12:C891,"x")</f>
        <v>41</v>
      </c>
      <c r="B891" s="1451" t="s">
        <v>1610</v>
      </c>
      <c r="C891" s="966" t="str">
        <f t="shared" si="173"/>
        <v xml:space="preserve"> </v>
      </c>
      <c r="D891" s="1411">
        <v>1</v>
      </c>
      <c r="E891" s="976"/>
      <c r="F891" s="988" t="str">
        <f>VLOOKUP($B891,DG!A:D,DG!$C$2,)</f>
        <v>Boulon 16x300+ 2 long đền vuông D18-50x50x3/Zn</v>
      </c>
      <c r="G891" s="976" t="str">
        <f>VLOOKUP($B891,DG!A:D,DG!$D$2,)</f>
        <v>bộ</v>
      </c>
      <c r="H891" s="1689">
        <f>H$887*$D891</f>
        <v>0</v>
      </c>
      <c r="I891" s="1689">
        <f t="shared" si="182"/>
        <v>0</v>
      </c>
      <c r="J891" s="1689">
        <f t="shared" si="182"/>
        <v>0</v>
      </c>
      <c r="K891" s="1689">
        <f>K$887*$D891</f>
        <v>0</v>
      </c>
      <c r="L891" s="1689">
        <f t="shared" si="183"/>
        <v>0</v>
      </c>
      <c r="M891" s="1689">
        <f t="shared" si="183"/>
        <v>0</v>
      </c>
      <c r="N891" s="1689">
        <f t="shared" si="183"/>
        <v>0</v>
      </c>
      <c r="O891" s="1689"/>
      <c r="P891" s="1689">
        <f t="shared" si="184"/>
        <v>0</v>
      </c>
      <c r="Q891" s="1689">
        <f t="shared" si="184"/>
        <v>0</v>
      </c>
      <c r="R891" s="1689">
        <f t="shared" si="184"/>
        <v>0</v>
      </c>
      <c r="S891" s="985"/>
      <c r="T891" s="1858">
        <f t="shared" si="180"/>
        <v>0</v>
      </c>
    </row>
    <row r="892" spans="1:20" ht="22.2" hidden="1" customHeight="1">
      <c r="A892" s="1444">
        <f>COUNTIF($C$12:C892,"x")</f>
        <v>41</v>
      </c>
      <c r="B892" s="1451" t="s">
        <v>415</v>
      </c>
      <c r="C892" s="966" t="str">
        <f t="shared" si="173"/>
        <v xml:space="preserve"> </v>
      </c>
      <c r="D892" s="1411">
        <v>4</v>
      </c>
      <c r="E892" s="976"/>
      <c r="F892" s="988" t="str">
        <f>VLOOKUP($B892,DG!A:D,DG!$C$2,)</f>
        <v>Boulon 16x300VRS+ 4 long đền vuông D18-50x50x3/Zn</v>
      </c>
      <c r="G892" s="976" t="str">
        <f>VLOOKUP($B892,DG!A:D,DG!$D$2,)</f>
        <v>bộ</v>
      </c>
      <c r="H892" s="1689">
        <f>H$887*$D892</f>
        <v>0</v>
      </c>
      <c r="I892" s="1689">
        <f t="shared" si="182"/>
        <v>0</v>
      </c>
      <c r="J892" s="1689">
        <f t="shared" si="182"/>
        <v>0</v>
      </c>
      <c r="K892" s="1689">
        <f>K$887*$D892</f>
        <v>0</v>
      </c>
      <c r="L892" s="1689">
        <f t="shared" si="183"/>
        <v>0</v>
      </c>
      <c r="M892" s="1689">
        <f t="shared" si="183"/>
        <v>0</v>
      </c>
      <c r="N892" s="1689">
        <f t="shared" si="183"/>
        <v>0</v>
      </c>
      <c r="O892" s="1689"/>
      <c r="P892" s="1689">
        <f t="shared" si="184"/>
        <v>0</v>
      </c>
      <c r="Q892" s="1689">
        <f t="shared" si="184"/>
        <v>0</v>
      </c>
      <c r="R892" s="1689">
        <f t="shared" si="184"/>
        <v>0</v>
      </c>
      <c r="S892" s="985"/>
      <c r="T892" s="1858">
        <f t="shared" si="180"/>
        <v>0</v>
      </c>
    </row>
    <row r="893" spans="1:20" ht="22.2" hidden="1" customHeight="1">
      <c r="A893" s="1444">
        <f>COUNTIF($C$12:C893,"x")</f>
        <v>41</v>
      </c>
      <c r="B893" s="1451" t="s">
        <v>1786</v>
      </c>
      <c r="C893" s="966" t="str">
        <f t="shared" si="173"/>
        <v xml:space="preserve"> </v>
      </c>
      <c r="D893" s="1411">
        <v>4</v>
      </c>
      <c r="E893" s="976"/>
      <c r="F893" s="988" t="str">
        <f>VLOOKUP($B893,DG!A:D,DG!$C$2,)</f>
        <v>Boulon 16x50+ 2 long đền vuông D18-50x50x3/Zn</v>
      </c>
      <c r="G893" s="976" t="str">
        <f>VLOOKUP($B893,DG!A:D,DG!$D$2,)</f>
        <v>bộ</v>
      </c>
      <c r="H893" s="1689">
        <f>H$887*$D893</f>
        <v>0</v>
      </c>
      <c r="I893" s="1689">
        <f t="shared" si="182"/>
        <v>0</v>
      </c>
      <c r="J893" s="1689">
        <f t="shared" si="182"/>
        <v>0</v>
      </c>
      <c r="K893" s="1689">
        <f>K$887*$D893</f>
        <v>0</v>
      </c>
      <c r="L893" s="1689">
        <f t="shared" si="183"/>
        <v>0</v>
      </c>
      <c r="M893" s="1689">
        <f t="shared" si="183"/>
        <v>0</v>
      </c>
      <c r="N893" s="1689">
        <f t="shared" si="183"/>
        <v>0</v>
      </c>
      <c r="O893" s="1689"/>
      <c r="P893" s="1689">
        <f t="shared" si="184"/>
        <v>0</v>
      </c>
      <c r="Q893" s="1689">
        <f t="shared" si="184"/>
        <v>0</v>
      </c>
      <c r="R893" s="1689">
        <f t="shared" si="184"/>
        <v>0</v>
      </c>
      <c r="S893" s="985"/>
      <c r="T893" s="1858">
        <f t="shared" si="180"/>
        <v>0</v>
      </c>
    </row>
    <row r="894" spans="1:20" ht="22.2" hidden="1" customHeight="1">
      <c r="A894" s="1444">
        <f>COUNTIF($C$12:C894,"x")</f>
        <v>41</v>
      </c>
      <c r="B894" s="1451" t="s">
        <v>518</v>
      </c>
      <c r="C894" s="966" t="str">
        <f t="shared" si="173"/>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80"/>
        <v>0</v>
      </c>
    </row>
    <row r="895" spans="1:20" ht="22.2" hidden="1" customHeight="1">
      <c r="A895" s="1444">
        <f>COUNTIF($C$12:C895,"x")</f>
        <v>41</v>
      </c>
      <c r="B895" s="1451" t="s">
        <v>1996</v>
      </c>
      <c r="C895" s="966" t="str">
        <f t="shared" si="173"/>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80"/>
        <v>0</v>
      </c>
    </row>
    <row r="896" spans="1:20" ht="22.2" hidden="1" customHeight="1">
      <c r="A896" s="1444">
        <f>COUNTIF($C$12:C896,"x")</f>
        <v>41</v>
      </c>
      <c r="B896" s="1460" t="s">
        <v>1997</v>
      </c>
      <c r="C896" s="966" t="str">
        <f t="shared" si="173"/>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80"/>
        <v>0</v>
      </c>
    </row>
    <row r="897" spans="1:20" ht="22.2" hidden="1" customHeight="1">
      <c r="A897" s="1444">
        <f>COUNTIF($C$12:C897,"x")</f>
        <v>41</v>
      </c>
      <c r="B897" s="1460" t="s">
        <v>635</v>
      </c>
      <c r="C897" s="966" t="str">
        <f t="shared" si="173"/>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80"/>
        <v>0</v>
      </c>
    </row>
    <row r="898" spans="1:20" ht="22.2" hidden="1" customHeight="1">
      <c r="A898" s="1444">
        <f>COUNTIF($C$12:C898,"x")</f>
        <v>41</v>
      </c>
      <c r="B898" s="1448" t="s">
        <v>4809</v>
      </c>
      <c r="C898" s="966" t="str">
        <f t="shared" ref="C898:C908" si="185">IF(OR(P898&lt;&gt;0,H898&lt;&gt;0),"x"," ")</f>
        <v xml:space="preserve"> </v>
      </c>
      <c r="D898" s="1408"/>
      <c r="E898" s="977"/>
      <c r="F898" s="1272" t="s">
        <v>4814</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2" hidden="1" customHeight="1">
      <c r="A899" s="1444">
        <f>COUNTIF($C$12:C899,"x")</f>
        <v>41</v>
      </c>
      <c r="B899" s="1451" t="s">
        <v>4816</v>
      </c>
      <c r="C899" s="966" t="str">
        <f t="shared" si="185"/>
        <v xml:space="preserve"> </v>
      </c>
      <c r="D899" s="1410">
        <v>2</v>
      </c>
      <c r="E899" s="976"/>
      <c r="F899" s="988" t="str">
        <f>VLOOKUP($B899,DG!A:D,DG!$C$2,)</f>
        <v>Sắt góc L75 x75 x8 x2200</v>
      </c>
      <c r="G899" s="976" t="str">
        <f>VLOOKUP($B899,DG!A:D,DG!$D$2,)</f>
        <v>cái</v>
      </c>
      <c r="H899" s="1990">
        <f t="shared" ref="H899:H904" si="186">H$887*$D899</f>
        <v>0</v>
      </c>
      <c r="I899" s="1689">
        <f t="shared" ref="I899:J904" si="187">I$863*$D899</f>
        <v>0</v>
      </c>
      <c r="J899" s="1689">
        <f t="shared" si="187"/>
        <v>0</v>
      </c>
      <c r="K899" s="1689">
        <f t="shared" ref="K899:K904" si="188">K$887*$D899</f>
        <v>0</v>
      </c>
      <c r="L899" s="1689">
        <f t="shared" ref="L899:N904" si="189">L$863*$D899</f>
        <v>0</v>
      </c>
      <c r="M899" s="1689">
        <f t="shared" si="189"/>
        <v>0</v>
      </c>
      <c r="N899" s="1689">
        <f t="shared" si="189"/>
        <v>0</v>
      </c>
      <c r="O899" s="1689"/>
      <c r="P899" s="1990">
        <f t="shared" ref="P899:R904" si="190">P$887*$D899</f>
        <v>0</v>
      </c>
      <c r="Q899" s="1990">
        <f t="shared" si="190"/>
        <v>0</v>
      </c>
      <c r="R899" s="1990">
        <f t="shared" si="190"/>
        <v>0</v>
      </c>
      <c r="S899" s="985"/>
      <c r="T899" s="1858">
        <f t="shared" ref="T899:T908" si="191">IFERROR(HLOOKUP(B899,BangKeTru,3,0),0)</f>
        <v>0</v>
      </c>
    </row>
    <row r="900" spans="1:20" ht="22.2" hidden="1" customHeight="1">
      <c r="A900" s="1444">
        <f>COUNTIF($C$12:C900,"x")</f>
        <v>41</v>
      </c>
      <c r="B900" s="1451" t="s">
        <v>4817</v>
      </c>
      <c r="C900" s="966" t="str">
        <f t="shared" si="185"/>
        <v xml:space="preserve"> </v>
      </c>
      <c r="D900" s="1410">
        <v>4</v>
      </c>
      <c r="E900" s="976"/>
      <c r="F900" s="988" t="str">
        <f>VLOOKUP($B900,DG!A:D,DG!$C$2,)</f>
        <v>Sắt góc L50 x50 x5 x920</v>
      </c>
      <c r="G900" s="976" t="str">
        <f>VLOOKUP($B900,DG!A:D,DG!$D$2,)</f>
        <v>cái</v>
      </c>
      <c r="H900" s="1990">
        <f t="shared" si="186"/>
        <v>0</v>
      </c>
      <c r="I900" s="1689">
        <f t="shared" si="187"/>
        <v>0</v>
      </c>
      <c r="J900" s="1689">
        <f t="shared" si="187"/>
        <v>0</v>
      </c>
      <c r="K900" s="1689">
        <f t="shared" si="188"/>
        <v>0</v>
      </c>
      <c r="L900" s="1689">
        <f t="shared" si="189"/>
        <v>0</v>
      </c>
      <c r="M900" s="1689">
        <f t="shared" si="189"/>
        <v>0</v>
      </c>
      <c r="N900" s="1689">
        <f t="shared" si="189"/>
        <v>0</v>
      </c>
      <c r="O900" s="1689"/>
      <c r="P900" s="1990">
        <f t="shared" si="190"/>
        <v>0</v>
      </c>
      <c r="Q900" s="1990">
        <f t="shared" si="190"/>
        <v>0</v>
      </c>
      <c r="R900" s="1990">
        <f t="shared" si="190"/>
        <v>0</v>
      </c>
      <c r="S900" s="985"/>
      <c r="T900" s="1858">
        <f t="shared" si="191"/>
        <v>0</v>
      </c>
    </row>
    <row r="901" spans="1:20" ht="22.2" hidden="1" customHeight="1">
      <c r="A901" s="1444">
        <f>COUNTIF($C$12:C901,"x")</f>
        <v>41</v>
      </c>
      <c r="B901" s="1451" t="s">
        <v>1609</v>
      </c>
      <c r="C901" s="966" t="str">
        <f t="shared" si="185"/>
        <v xml:space="preserve"> </v>
      </c>
      <c r="D901" s="1411">
        <v>2</v>
      </c>
      <c r="E901" s="976"/>
      <c r="F901" s="988" t="str">
        <f>VLOOKUP($B901,DG!A:D,DG!$C$2,)</f>
        <v>Boulon 16x250+ 2 long đền vuông D18-50x50x3/Zn</v>
      </c>
      <c r="G901" s="976" t="str">
        <f>VLOOKUP($B901,DG!A:D,DG!$D$2,)</f>
        <v>bộ</v>
      </c>
      <c r="H901" s="1689">
        <f t="shared" si="186"/>
        <v>0</v>
      </c>
      <c r="I901" s="1689">
        <f t="shared" si="187"/>
        <v>0</v>
      </c>
      <c r="J901" s="1689">
        <f t="shared" si="187"/>
        <v>0</v>
      </c>
      <c r="K901" s="1689">
        <f t="shared" si="188"/>
        <v>0</v>
      </c>
      <c r="L901" s="1689">
        <f t="shared" si="189"/>
        <v>0</v>
      </c>
      <c r="M901" s="1689">
        <f t="shared" si="189"/>
        <v>0</v>
      </c>
      <c r="N901" s="1689">
        <f t="shared" si="189"/>
        <v>0</v>
      </c>
      <c r="O901" s="1689"/>
      <c r="P901" s="1689">
        <f t="shared" si="190"/>
        <v>0</v>
      </c>
      <c r="Q901" s="1689">
        <f t="shared" si="190"/>
        <v>0</v>
      </c>
      <c r="R901" s="1689">
        <f t="shared" si="190"/>
        <v>0</v>
      </c>
      <c r="S901" s="985"/>
      <c r="T901" s="1858">
        <f t="shared" si="191"/>
        <v>0</v>
      </c>
    </row>
    <row r="902" spans="1:20" ht="22.2" hidden="1" customHeight="1">
      <c r="A902" s="1444">
        <f>COUNTIF($C$12:C902,"x")</f>
        <v>41</v>
      </c>
      <c r="B902" s="1451" t="s">
        <v>1610</v>
      </c>
      <c r="C902" s="966" t="str">
        <f t="shared" si="185"/>
        <v xml:space="preserve"> </v>
      </c>
      <c r="D902" s="1411">
        <v>2</v>
      </c>
      <c r="E902" s="976"/>
      <c r="F902" s="988" t="str">
        <f>VLOOKUP($B902,DG!A:D,DG!$C$2,)</f>
        <v>Boulon 16x300+ 2 long đền vuông D18-50x50x3/Zn</v>
      </c>
      <c r="G902" s="976" t="str">
        <f>VLOOKUP($B902,DG!A:D,DG!$D$2,)</f>
        <v>bộ</v>
      </c>
      <c r="H902" s="1689">
        <f t="shared" si="186"/>
        <v>0</v>
      </c>
      <c r="I902" s="1689">
        <f t="shared" si="187"/>
        <v>0</v>
      </c>
      <c r="J902" s="1689">
        <f t="shared" si="187"/>
        <v>0</v>
      </c>
      <c r="K902" s="1689">
        <f t="shared" si="188"/>
        <v>0</v>
      </c>
      <c r="L902" s="1689">
        <f t="shared" si="189"/>
        <v>0</v>
      </c>
      <c r="M902" s="1689">
        <f t="shared" si="189"/>
        <v>0</v>
      </c>
      <c r="N902" s="1689">
        <f t="shared" si="189"/>
        <v>0</v>
      </c>
      <c r="O902" s="1689"/>
      <c r="P902" s="1689">
        <f t="shared" si="190"/>
        <v>0</v>
      </c>
      <c r="Q902" s="1689">
        <f t="shared" si="190"/>
        <v>0</v>
      </c>
      <c r="R902" s="1689">
        <f t="shared" si="190"/>
        <v>0</v>
      </c>
      <c r="S902" s="985"/>
      <c r="T902" s="1858">
        <f t="shared" si="191"/>
        <v>0</v>
      </c>
    </row>
    <row r="903" spans="1:20" ht="22.2" hidden="1" customHeight="1">
      <c r="A903" s="1444">
        <f>COUNTIF($C$12:C903,"x")</f>
        <v>41</v>
      </c>
      <c r="B903" s="1451" t="s">
        <v>415</v>
      </c>
      <c r="C903" s="966" t="str">
        <f t="shared" si="185"/>
        <v xml:space="preserve"> </v>
      </c>
      <c r="D903" s="1411">
        <v>4</v>
      </c>
      <c r="E903" s="976"/>
      <c r="F903" s="988" t="str">
        <f>VLOOKUP($B903,DG!A:D,DG!$C$2,)</f>
        <v>Boulon 16x300VRS+ 4 long đền vuông D18-50x50x3/Zn</v>
      </c>
      <c r="G903" s="976" t="str">
        <f>VLOOKUP($B903,DG!A:D,DG!$D$2,)</f>
        <v>bộ</v>
      </c>
      <c r="H903" s="1689">
        <f t="shared" si="186"/>
        <v>0</v>
      </c>
      <c r="I903" s="1689">
        <f t="shared" si="187"/>
        <v>0</v>
      </c>
      <c r="J903" s="1689">
        <f t="shared" si="187"/>
        <v>0</v>
      </c>
      <c r="K903" s="1689">
        <f t="shared" si="188"/>
        <v>0</v>
      </c>
      <c r="L903" s="1689">
        <f t="shared" si="189"/>
        <v>0</v>
      </c>
      <c r="M903" s="1689">
        <f t="shared" si="189"/>
        <v>0</v>
      </c>
      <c r="N903" s="1689">
        <f t="shared" si="189"/>
        <v>0</v>
      </c>
      <c r="O903" s="1689"/>
      <c r="P903" s="1689">
        <f t="shared" si="190"/>
        <v>0</v>
      </c>
      <c r="Q903" s="1689">
        <f t="shared" si="190"/>
        <v>0</v>
      </c>
      <c r="R903" s="1689">
        <f t="shared" si="190"/>
        <v>0</v>
      </c>
      <c r="S903" s="985"/>
      <c r="T903" s="1858">
        <f t="shared" si="191"/>
        <v>0</v>
      </c>
    </row>
    <row r="904" spans="1:20" ht="22.2" hidden="1" customHeight="1">
      <c r="A904" s="1444">
        <f>COUNTIF($C$12:C904,"x")</f>
        <v>41</v>
      </c>
      <c r="B904" s="1451" t="s">
        <v>1786</v>
      </c>
      <c r="C904" s="966" t="str">
        <f t="shared" si="185"/>
        <v xml:space="preserve"> </v>
      </c>
      <c r="D904" s="1411">
        <v>4</v>
      </c>
      <c r="E904" s="976"/>
      <c r="F904" s="988" t="str">
        <f>VLOOKUP($B904,DG!A:D,DG!$C$2,)</f>
        <v>Boulon 16x50+ 2 long đền vuông D18-50x50x3/Zn</v>
      </c>
      <c r="G904" s="976" t="str">
        <f>VLOOKUP($B904,DG!A:D,DG!$D$2,)</f>
        <v>bộ</v>
      </c>
      <c r="H904" s="1689">
        <f t="shared" si="186"/>
        <v>0</v>
      </c>
      <c r="I904" s="1689">
        <f t="shared" si="187"/>
        <v>0</v>
      </c>
      <c r="J904" s="1689">
        <f t="shared" si="187"/>
        <v>0</v>
      </c>
      <c r="K904" s="1689">
        <f t="shared" si="188"/>
        <v>0</v>
      </c>
      <c r="L904" s="1689">
        <f t="shared" si="189"/>
        <v>0</v>
      </c>
      <c r="M904" s="1689">
        <f t="shared" si="189"/>
        <v>0</v>
      </c>
      <c r="N904" s="1689">
        <f t="shared" si="189"/>
        <v>0</v>
      </c>
      <c r="O904" s="1689"/>
      <c r="P904" s="1689">
        <f t="shared" si="190"/>
        <v>0</v>
      </c>
      <c r="Q904" s="1689">
        <f t="shared" si="190"/>
        <v>0</v>
      </c>
      <c r="R904" s="1689">
        <f t="shared" si="190"/>
        <v>0</v>
      </c>
      <c r="S904" s="985"/>
      <c r="T904" s="1858">
        <f t="shared" si="191"/>
        <v>0</v>
      </c>
    </row>
    <row r="905" spans="1:20" ht="22.2" hidden="1" customHeight="1">
      <c r="A905" s="1444">
        <f>COUNTIF($C$12:C905,"x")</f>
        <v>41</v>
      </c>
      <c r="B905" s="1451" t="s">
        <v>518</v>
      </c>
      <c r="C905" s="966" t="str">
        <f t="shared" si="185"/>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91"/>
        <v>0</v>
      </c>
    </row>
    <row r="906" spans="1:20" ht="22.2" hidden="1" customHeight="1">
      <c r="A906" s="1444">
        <f>COUNTIF($C$12:C906,"x")</f>
        <v>41</v>
      </c>
      <c r="B906" s="1451" t="s">
        <v>1996</v>
      </c>
      <c r="C906" s="966" t="str">
        <f t="shared" si="185"/>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91"/>
        <v>0</v>
      </c>
    </row>
    <row r="907" spans="1:20" ht="22.2" hidden="1" customHeight="1">
      <c r="A907" s="1444">
        <f>COUNTIF($C$12:C907,"x")</f>
        <v>41</v>
      </c>
      <c r="B907" s="1460" t="s">
        <v>1997</v>
      </c>
      <c r="C907" s="966" t="str">
        <f t="shared" si="185"/>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91"/>
        <v>0</v>
      </c>
    </row>
    <row r="908" spans="1:20" ht="22.2" hidden="1" customHeight="1">
      <c r="A908" s="1444">
        <f>COUNTIF($C$12:C908,"x")</f>
        <v>41</v>
      </c>
      <c r="B908" s="1460" t="s">
        <v>635</v>
      </c>
      <c r="C908" s="966" t="str">
        <f t="shared" si="185"/>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91"/>
        <v>0</v>
      </c>
    </row>
    <row r="909" spans="1:20" ht="22.2" hidden="1" customHeight="1">
      <c r="A909" s="1444">
        <f>COUNTIF($C$12:C909,"x")</f>
        <v>41</v>
      </c>
      <c r="B909" s="1448" t="s">
        <v>2296</v>
      </c>
      <c r="C909" s="966" t="str">
        <f t="shared" si="173"/>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2" hidden="1" customHeight="1">
      <c r="A910" s="1444">
        <f>COUNTIF($C$12:C910,"x")</f>
        <v>41</v>
      </c>
      <c r="B910" s="1451" t="s">
        <v>109</v>
      </c>
      <c r="C910" s="966" t="str">
        <f t="shared" si="173"/>
        <v xml:space="preserve"> </v>
      </c>
      <c r="D910" s="1410">
        <f>9.02*(2.4+4*0.07)</f>
        <v>24.173599999999997</v>
      </c>
      <c r="E910" s="976"/>
      <c r="F910" s="988" t="str">
        <f>VLOOKUP($B910,DG!A:D,DG!$C$2,)</f>
        <v>Sắt góc L75 x75 x8</v>
      </c>
      <c r="G910" s="976" t="str">
        <f>VLOOKUP($B910,DG!A:D,DG!$D$2,)</f>
        <v>kg</v>
      </c>
      <c r="H910" s="1689">
        <f t="shared" ref="H910:N913" si="192">H$909*$D910</f>
        <v>0</v>
      </c>
      <c r="I910" s="1689">
        <f t="shared" si="192"/>
        <v>0</v>
      </c>
      <c r="J910" s="1689">
        <f t="shared" si="192"/>
        <v>0</v>
      </c>
      <c r="K910" s="1689">
        <f t="shared" si="192"/>
        <v>0</v>
      </c>
      <c r="L910" s="1689">
        <f t="shared" si="192"/>
        <v>0</v>
      </c>
      <c r="M910" s="1689">
        <f t="shared" si="192"/>
        <v>0</v>
      </c>
      <c r="N910" s="1689">
        <f t="shared" si="192"/>
        <v>0</v>
      </c>
      <c r="O910" s="1689"/>
      <c r="P910" s="1689"/>
      <c r="Q910" s="985"/>
      <c r="R910" s="985"/>
      <c r="S910" s="985"/>
      <c r="T910" s="1858">
        <f t="shared" si="180"/>
        <v>0</v>
      </c>
    </row>
    <row r="911" spans="1:20" ht="22.2" hidden="1" customHeight="1">
      <c r="A911" s="1444">
        <f>COUNTIF($C$12:C911,"x")</f>
        <v>41</v>
      </c>
      <c r="B911" s="1451" t="s">
        <v>457</v>
      </c>
      <c r="C911" s="966" t="str">
        <f t="shared" si="173"/>
        <v xml:space="preserve"> </v>
      </c>
      <c r="D911" s="1410">
        <f>3.77*0.92*2</f>
        <v>6.9368000000000007</v>
      </c>
      <c r="E911" s="976"/>
      <c r="F911" s="988" t="str">
        <f>VLOOKUP($B911,DG!A:D,DG!$C$2,)&amp;" (chống 920)"</f>
        <v>Sắt góc L50 x50 x5 (chống 920)</v>
      </c>
      <c r="G911" s="976" t="str">
        <f>VLOOKUP($B911,DG!A:D,DG!$D$2,)</f>
        <v>kg</v>
      </c>
      <c r="H911" s="1689">
        <f t="shared" si="192"/>
        <v>0</v>
      </c>
      <c r="I911" s="1689">
        <f t="shared" si="192"/>
        <v>0</v>
      </c>
      <c r="J911" s="1689">
        <f t="shared" si="192"/>
        <v>0</v>
      </c>
      <c r="K911" s="1689">
        <f t="shared" si="192"/>
        <v>0</v>
      </c>
      <c r="L911" s="1689">
        <f t="shared" si="192"/>
        <v>0</v>
      </c>
      <c r="M911" s="1689">
        <f t="shared" si="192"/>
        <v>0</v>
      </c>
      <c r="N911" s="1689">
        <f t="shared" si="192"/>
        <v>0</v>
      </c>
      <c r="O911" s="1689"/>
      <c r="P911" s="1689"/>
      <c r="Q911" s="985"/>
      <c r="R911" s="985"/>
      <c r="S911" s="985"/>
      <c r="T911" s="1858">
        <f t="shared" si="180"/>
        <v>0</v>
      </c>
    </row>
    <row r="912" spans="1:20" ht="22.2" hidden="1" customHeight="1">
      <c r="A912" s="1444">
        <f>COUNTIF($C$12:C912,"x")</f>
        <v>41</v>
      </c>
      <c r="B912" s="1451" t="s">
        <v>1610</v>
      </c>
      <c r="C912" s="966" t="str">
        <f t="shared" si="173"/>
        <v xml:space="preserve"> </v>
      </c>
      <c r="D912" s="1411">
        <v>2</v>
      </c>
      <c r="E912" s="976"/>
      <c r="F912" s="988" t="str">
        <f>VLOOKUP($B912,DG!A:D,DG!$C$2,)</f>
        <v>Boulon 16x300+ 2 long đền vuông D18-50x50x3/Zn</v>
      </c>
      <c r="G912" s="976" t="str">
        <f>VLOOKUP($B912,DG!A:D,DG!$D$2,)</f>
        <v>bộ</v>
      </c>
      <c r="H912" s="1689">
        <f t="shared" si="192"/>
        <v>0</v>
      </c>
      <c r="I912" s="1689">
        <f t="shared" si="192"/>
        <v>0</v>
      </c>
      <c r="J912" s="1689">
        <f t="shared" si="192"/>
        <v>0</v>
      </c>
      <c r="K912" s="1689">
        <f t="shared" si="192"/>
        <v>0</v>
      </c>
      <c r="L912" s="1689">
        <f t="shared" si="192"/>
        <v>0</v>
      </c>
      <c r="M912" s="1689">
        <f t="shared" si="192"/>
        <v>0</v>
      </c>
      <c r="N912" s="1689">
        <f t="shared" si="192"/>
        <v>0</v>
      </c>
      <c r="O912" s="1689"/>
      <c r="P912" s="1689"/>
      <c r="Q912" s="985"/>
      <c r="R912" s="985"/>
      <c r="S912" s="985"/>
      <c r="T912" s="1858">
        <f t="shared" si="180"/>
        <v>0</v>
      </c>
    </row>
    <row r="913" spans="1:20" ht="22.2" hidden="1" customHeight="1">
      <c r="A913" s="1444">
        <f>COUNTIF($C$12:C913,"x")</f>
        <v>41</v>
      </c>
      <c r="B913" s="1451" t="s">
        <v>1786</v>
      </c>
      <c r="C913" s="966" t="str">
        <f t="shared" si="173"/>
        <v xml:space="preserve"> </v>
      </c>
      <c r="D913" s="1411">
        <v>2</v>
      </c>
      <c r="E913" s="976"/>
      <c r="F913" s="988" t="str">
        <f>VLOOKUP($B913,DG!A:D,DG!$C$2,)</f>
        <v>Boulon 16x50+ 2 long đền vuông D18-50x50x3/Zn</v>
      </c>
      <c r="G913" s="976" t="str">
        <f>VLOOKUP($B913,DG!A:D,DG!$D$2,)</f>
        <v>bộ</v>
      </c>
      <c r="H913" s="1689">
        <f t="shared" si="192"/>
        <v>0</v>
      </c>
      <c r="I913" s="1689">
        <f t="shared" si="192"/>
        <v>0</v>
      </c>
      <c r="J913" s="1689">
        <f t="shared" si="192"/>
        <v>0</v>
      </c>
      <c r="K913" s="1689">
        <f t="shared" si="192"/>
        <v>0</v>
      </c>
      <c r="L913" s="1689">
        <f t="shared" si="192"/>
        <v>0</v>
      </c>
      <c r="M913" s="1689">
        <f t="shared" si="192"/>
        <v>0</v>
      </c>
      <c r="N913" s="1689">
        <f t="shared" si="192"/>
        <v>0</v>
      </c>
      <c r="O913" s="1689"/>
      <c r="P913" s="1689"/>
      <c r="Q913" s="985"/>
      <c r="R913" s="985"/>
      <c r="S913" s="985"/>
      <c r="T913" s="1858">
        <f t="shared" si="180"/>
        <v>0</v>
      </c>
    </row>
    <row r="914" spans="1:20" ht="22.2" hidden="1" customHeight="1">
      <c r="A914" s="1444">
        <f>COUNTIF($C$12:C914,"x")</f>
        <v>41</v>
      </c>
      <c r="B914" s="1451" t="s">
        <v>516</v>
      </c>
      <c r="C914" s="966" t="str">
        <f t="shared" si="173"/>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80"/>
        <v>0</v>
      </c>
    </row>
    <row r="915" spans="1:20" ht="22.2" hidden="1" customHeight="1">
      <c r="A915" s="1444">
        <f>COUNTIF($C$12:C915,"x")</f>
        <v>41</v>
      </c>
      <c r="B915" s="1451" t="s">
        <v>1996</v>
      </c>
      <c r="C915" s="966" t="str">
        <f t="shared" si="173"/>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80"/>
        <v>0</v>
      </c>
    </row>
    <row r="916" spans="1:20" ht="22.2" hidden="1" customHeight="1">
      <c r="A916" s="1444">
        <f>COUNTIF($C$12:C916,"x")</f>
        <v>41</v>
      </c>
      <c r="B916" s="1460" t="s">
        <v>1997</v>
      </c>
      <c r="C916" s="966" t="str">
        <f t="shared" si="173"/>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80"/>
        <v>0</v>
      </c>
    </row>
    <row r="917" spans="1:20" ht="22.2" hidden="1" customHeight="1">
      <c r="A917" s="1444">
        <f>COUNTIF($C$12:C917,"x")</f>
        <v>41</v>
      </c>
      <c r="B917" s="1460" t="s">
        <v>635</v>
      </c>
      <c r="C917" s="966" t="str">
        <f t="shared" si="173"/>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80"/>
        <v>0</v>
      </c>
    </row>
    <row r="918" spans="1:20" ht="22.2" hidden="1" customHeight="1">
      <c r="A918" s="1444">
        <f>COUNTIF($C$12:C918,"x")</f>
        <v>41</v>
      </c>
      <c r="B918" s="1448" t="s">
        <v>910</v>
      </c>
      <c r="C918" s="966" t="str">
        <f t="shared" si="173"/>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2" hidden="1" customHeight="1">
      <c r="A919" s="1444">
        <f>COUNTIF($C$12:C919,"x")</f>
        <v>41</v>
      </c>
      <c r="B919" s="1451" t="s">
        <v>6423</v>
      </c>
      <c r="C919" s="966" t="str">
        <f t="shared" si="173"/>
        <v xml:space="preserve"> </v>
      </c>
      <c r="D919" s="1410">
        <v>2</v>
      </c>
      <c r="E919" s="976"/>
      <c r="F919" s="988" t="str">
        <f>VLOOKUP($B919,DG!A:D,DG!$C$2,)</f>
        <v>Sắt góc L75 x75 x8 x2400</v>
      </c>
      <c r="G919" s="976" t="str">
        <f>VLOOKUP($B919,DG!A:D,DG!$D$2,)</f>
        <v>cái</v>
      </c>
      <c r="H919" s="1689">
        <f t="shared" ref="H919:R923" si="193">H$918*$D919</f>
        <v>0</v>
      </c>
      <c r="I919" s="1689">
        <f t="shared" si="193"/>
        <v>0</v>
      </c>
      <c r="J919" s="1689">
        <f t="shared" si="193"/>
        <v>0</v>
      </c>
      <c r="K919" s="1689">
        <f t="shared" si="193"/>
        <v>0</v>
      </c>
      <c r="L919" s="1689">
        <f t="shared" si="193"/>
        <v>0</v>
      </c>
      <c r="M919" s="1689">
        <f t="shared" si="193"/>
        <v>0</v>
      </c>
      <c r="N919" s="1689">
        <f t="shared" si="193"/>
        <v>0</v>
      </c>
      <c r="O919" s="1689">
        <f t="shared" si="193"/>
        <v>0</v>
      </c>
      <c r="P919" s="1689">
        <f t="shared" si="193"/>
        <v>0</v>
      </c>
      <c r="Q919" s="1689">
        <f t="shared" si="193"/>
        <v>0</v>
      </c>
      <c r="R919" s="1689">
        <f t="shared" si="193"/>
        <v>0</v>
      </c>
      <c r="S919" s="985"/>
      <c r="T919" s="1858">
        <f t="shared" si="180"/>
        <v>0</v>
      </c>
    </row>
    <row r="920" spans="1:20" ht="22.2" hidden="1" customHeight="1">
      <c r="A920" s="1444">
        <f>COUNTIF($C$12:C920,"x")</f>
        <v>41</v>
      </c>
      <c r="B920" s="1451" t="s">
        <v>4817</v>
      </c>
      <c r="C920" s="966" t="str">
        <f t="shared" si="173"/>
        <v xml:space="preserve"> </v>
      </c>
      <c r="D920" s="1410"/>
      <c r="E920" s="976"/>
      <c r="F920" s="988" t="str">
        <f>VLOOKUP($B920,DG!A:D,DG!$C$2,)</f>
        <v>Sắt góc L50 x50 x5 x920</v>
      </c>
      <c r="G920" s="976" t="str">
        <f>VLOOKUP($B920,DG!A:D,DG!$D$2,)</f>
        <v>cái</v>
      </c>
      <c r="H920" s="1689">
        <f t="shared" si="193"/>
        <v>0</v>
      </c>
      <c r="I920" s="1689">
        <f t="shared" si="193"/>
        <v>0</v>
      </c>
      <c r="J920" s="1689">
        <f t="shared" si="193"/>
        <v>0</v>
      </c>
      <c r="K920" s="1689">
        <f t="shared" si="193"/>
        <v>0</v>
      </c>
      <c r="L920" s="1689">
        <f t="shared" si="193"/>
        <v>0</v>
      </c>
      <c r="M920" s="1689">
        <f t="shared" si="193"/>
        <v>0</v>
      </c>
      <c r="N920" s="1689">
        <f t="shared" si="193"/>
        <v>0</v>
      </c>
      <c r="O920" s="1689"/>
      <c r="P920" s="1689">
        <f t="shared" si="193"/>
        <v>0</v>
      </c>
      <c r="Q920" s="1689">
        <f t="shared" si="193"/>
        <v>0</v>
      </c>
      <c r="R920" s="1689">
        <f t="shared" si="193"/>
        <v>0</v>
      </c>
      <c r="S920" s="985"/>
      <c r="T920" s="1858">
        <f t="shared" si="180"/>
        <v>0</v>
      </c>
    </row>
    <row r="921" spans="1:20" ht="22.2" hidden="1" customHeight="1">
      <c r="A921" s="1444">
        <f>COUNTIF($C$12:C921,"x")</f>
        <v>41</v>
      </c>
      <c r="B921" s="1451" t="s">
        <v>1609</v>
      </c>
      <c r="C921" s="966" t="str">
        <f t="shared" si="173"/>
        <v xml:space="preserve"> </v>
      </c>
      <c r="D921" s="1411">
        <v>1</v>
      </c>
      <c r="E921" s="976"/>
      <c r="F921" s="988" t="str">
        <f>VLOOKUP($B921,DG!A:D,DG!$C$2,)</f>
        <v>Boulon 16x250+ 2 long đền vuông D18-50x50x3/Zn</v>
      </c>
      <c r="G921" s="976" t="str">
        <f>VLOOKUP($B921,DG!A:D,DG!$D$2,)</f>
        <v>bộ</v>
      </c>
      <c r="H921" s="1689">
        <f t="shared" si="193"/>
        <v>0</v>
      </c>
      <c r="I921" s="1689">
        <f t="shared" si="193"/>
        <v>0</v>
      </c>
      <c r="J921" s="1689">
        <f t="shared" si="193"/>
        <v>0</v>
      </c>
      <c r="K921" s="1689">
        <f t="shared" si="193"/>
        <v>0</v>
      </c>
      <c r="L921" s="1689">
        <f t="shared" si="193"/>
        <v>0</v>
      </c>
      <c r="M921" s="1689">
        <f t="shared" si="193"/>
        <v>0</v>
      </c>
      <c r="N921" s="1689">
        <f t="shared" si="193"/>
        <v>0</v>
      </c>
      <c r="O921" s="1689"/>
      <c r="P921" s="1689">
        <f t="shared" si="193"/>
        <v>0</v>
      </c>
      <c r="Q921" s="1689">
        <f t="shared" si="193"/>
        <v>0</v>
      </c>
      <c r="R921" s="1689">
        <f t="shared" si="193"/>
        <v>0</v>
      </c>
      <c r="S921" s="985"/>
      <c r="T921" s="1858">
        <f t="shared" si="180"/>
        <v>0</v>
      </c>
    </row>
    <row r="922" spans="1:20" ht="22.2" hidden="1" customHeight="1">
      <c r="A922" s="1444">
        <f>COUNTIF($C$12:C922,"x")</f>
        <v>41</v>
      </c>
      <c r="B922" s="1451" t="s">
        <v>1610</v>
      </c>
      <c r="C922" s="966" t="str">
        <f t="shared" si="173"/>
        <v xml:space="preserve"> </v>
      </c>
      <c r="D922" s="1411">
        <v>1</v>
      </c>
      <c r="E922" s="976"/>
      <c r="F922" s="988" t="str">
        <f>VLOOKUP($B922,DG!A:D,DG!$C$2,)</f>
        <v>Boulon 16x300+ 2 long đền vuông D18-50x50x3/Zn</v>
      </c>
      <c r="G922" s="976" t="str">
        <f>VLOOKUP($B922,DG!A:D,DG!$D$2,)</f>
        <v>bộ</v>
      </c>
      <c r="H922" s="1689">
        <f t="shared" si="193"/>
        <v>0</v>
      </c>
      <c r="I922" s="1689">
        <f t="shared" si="193"/>
        <v>0</v>
      </c>
      <c r="J922" s="1689">
        <f t="shared" si="193"/>
        <v>0</v>
      </c>
      <c r="K922" s="1689">
        <f t="shared" si="193"/>
        <v>0</v>
      </c>
      <c r="L922" s="1689">
        <f t="shared" si="193"/>
        <v>0</v>
      </c>
      <c r="M922" s="1689">
        <f t="shared" si="193"/>
        <v>0</v>
      </c>
      <c r="N922" s="1689">
        <f t="shared" si="193"/>
        <v>0</v>
      </c>
      <c r="O922" s="1689"/>
      <c r="P922" s="1689">
        <f t="shared" si="193"/>
        <v>0</v>
      </c>
      <c r="Q922" s="1689">
        <f t="shared" si="193"/>
        <v>0</v>
      </c>
      <c r="R922" s="1689">
        <f t="shared" si="193"/>
        <v>0</v>
      </c>
      <c r="S922" s="985"/>
      <c r="T922" s="1858">
        <f t="shared" si="180"/>
        <v>0</v>
      </c>
    </row>
    <row r="923" spans="1:20" ht="22.2" hidden="1" customHeight="1">
      <c r="A923" s="1444">
        <f>COUNTIF($C$12:C923,"x")</f>
        <v>41</v>
      </c>
      <c r="B923" s="1451" t="s">
        <v>415</v>
      </c>
      <c r="C923" s="966" t="str">
        <f t="shared" si="173"/>
        <v xml:space="preserve"> </v>
      </c>
      <c r="D923" s="1411">
        <v>4</v>
      </c>
      <c r="E923" s="976"/>
      <c r="F923" s="988" t="str">
        <f>VLOOKUP($B923,DG!A:D,DG!$C$2,)</f>
        <v>Boulon 16x300VRS+ 4 long đền vuông D18-50x50x3/Zn</v>
      </c>
      <c r="G923" s="976" t="str">
        <f>VLOOKUP($B923,DG!A:D,DG!$D$2,)</f>
        <v>bộ</v>
      </c>
      <c r="H923" s="1689">
        <f t="shared" si="193"/>
        <v>0</v>
      </c>
      <c r="I923" s="1689">
        <f t="shared" si="193"/>
        <v>0</v>
      </c>
      <c r="J923" s="1689">
        <f t="shared" si="193"/>
        <v>0</v>
      </c>
      <c r="K923" s="1689">
        <f t="shared" si="193"/>
        <v>0</v>
      </c>
      <c r="L923" s="1689">
        <f t="shared" si="193"/>
        <v>0</v>
      </c>
      <c r="M923" s="1689">
        <f t="shared" si="193"/>
        <v>0</v>
      </c>
      <c r="N923" s="1689">
        <f t="shared" si="193"/>
        <v>0</v>
      </c>
      <c r="O923" s="1689"/>
      <c r="P923" s="1689">
        <f t="shared" si="193"/>
        <v>0</v>
      </c>
      <c r="Q923" s="1689">
        <f t="shared" si="193"/>
        <v>0</v>
      </c>
      <c r="R923" s="1689">
        <f t="shared" si="193"/>
        <v>0</v>
      </c>
      <c r="S923" s="985"/>
      <c r="T923" s="1858">
        <f t="shared" si="180"/>
        <v>0</v>
      </c>
    </row>
    <row r="924" spans="1:20" ht="22.2" hidden="1" customHeight="1">
      <c r="A924" s="1444">
        <f>COUNTIF($C$12:C924,"x")</f>
        <v>41</v>
      </c>
      <c r="B924" s="1451" t="s">
        <v>517</v>
      </c>
      <c r="C924" s="966" t="str">
        <f t="shared" si="173"/>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80"/>
        <v>0</v>
      </c>
    </row>
    <row r="925" spans="1:20" ht="22.2" hidden="1" customHeight="1">
      <c r="A925" s="1444">
        <f>COUNTIF($C$12:C925,"x")</f>
        <v>41</v>
      </c>
      <c r="B925" s="1451" t="s">
        <v>1996</v>
      </c>
      <c r="C925" s="966" t="str">
        <f t="shared" si="173"/>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80"/>
        <v>0</v>
      </c>
    </row>
    <row r="926" spans="1:20" ht="22.2" hidden="1" customHeight="1">
      <c r="A926" s="1444">
        <f>COUNTIF($C$12:C926,"x")</f>
        <v>41</v>
      </c>
      <c r="B926" s="1460" t="s">
        <v>1997</v>
      </c>
      <c r="C926" s="966" t="str">
        <f t="shared" si="173"/>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80"/>
        <v>0</v>
      </c>
    </row>
    <row r="927" spans="1:20" ht="22.2" hidden="1" customHeight="1">
      <c r="A927" s="1444">
        <f>COUNTIF($C$12:C927,"x")</f>
        <v>41</v>
      </c>
      <c r="B927" s="1460" t="s">
        <v>635</v>
      </c>
      <c r="C927" s="966" t="str">
        <f t="shared" si="173"/>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80"/>
        <v>0</v>
      </c>
    </row>
    <row r="928" spans="1:20" ht="22.2" hidden="1" customHeight="1">
      <c r="A928" s="1444">
        <f>COUNTIF($C$12:C928,"x")</f>
        <v>41</v>
      </c>
      <c r="B928" s="1448" t="s">
        <v>713</v>
      </c>
      <c r="C928" s="966" t="str">
        <f t="shared" si="173"/>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2" hidden="1" customHeight="1">
      <c r="A929" s="1444">
        <f>COUNTIF($C$12:C929,"x")</f>
        <v>41</v>
      </c>
      <c r="B929" s="1451" t="s">
        <v>518</v>
      </c>
      <c r="C929" s="966" t="str">
        <f t="shared" si="173"/>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80"/>
        <v>0</v>
      </c>
    </row>
    <row r="930" spans="1:20" ht="22.2" hidden="1" customHeight="1">
      <c r="A930" s="1444">
        <f>COUNTIF($C$12:C930,"x")</f>
        <v>41</v>
      </c>
      <c r="B930" s="1451" t="s">
        <v>1996</v>
      </c>
      <c r="C930" s="966" t="str">
        <f t="shared" si="173"/>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80"/>
        <v>0</v>
      </c>
    </row>
    <row r="931" spans="1:20" ht="22.2" hidden="1" customHeight="1">
      <c r="A931" s="1444">
        <f>COUNTIF($C$12:C931,"x")</f>
        <v>41</v>
      </c>
      <c r="B931" s="1460" t="s">
        <v>1997</v>
      </c>
      <c r="C931" s="966" t="str">
        <f t="shared" si="173"/>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80"/>
        <v>0</v>
      </c>
    </row>
    <row r="932" spans="1:20" ht="22.2" hidden="1" customHeight="1">
      <c r="A932" s="1444">
        <f>COUNTIF($C$12:C932,"x")</f>
        <v>41</v>
      </c>
      <c r="B932" s="1460" t="s">
        <v>635</v>
      </c>
      <c r="C932" s="966" t="str">
        <f t="shared" si="173"/>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80"/>
        <v>0</v>
      </c>
    </row>
    <row r="933" spans="1:20" ht="22.2" hidden="1" customHeight="1">
      <c r="A933" s="1444">
        <f>COUNTIF($C$12:C933,"x")</f>
        <v>41</v>
      </c>
      <c r="B933" s="1448" t="s">
        <v>2297</v>
      </c>
      <c r="C933" s="966" t="str">
        <f t="shared" si="173"/>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2" hidden="1" customHeight="1">
      <c r="A934" s="1444">
        <f>COUNTIF($C$12:C934,"x")</f>
        <v>41</v>
      </c>
      <c r="B934" s="1451" t="s">
        <v>109</v>
      </c>
      <c r="C934" s="966" t="str">
        <f t="shared" si="173"/>
        <v xml:space="preserve"> </v>
      </c>
      <c r="D934" s="1410">
        <f>9.42*(0.8+0.07)</f>
        <v>8.1954000000000011</v>
      </c>
      <c r="E934" s="976"/>
      <c r="F934" s="988" t="str">
        <f>VLOOKUP($B934,DG!A:D,DG!$C$2,)</f>
        <v>Sắt góc L75 x75 x8</v>
      </c>
      <c r="G934" s="976" t="str">
        <f>VLOOKUP($B934,DG!A:D,DG!$D$2,)</f>
        <v>kg</v>
      </c>
      <c r="H934" s="1689">
        <f t="shared" ref="H934:N937" si="194">H$933*$D934</f>
        <v>0</v>
      </c>
      <c r="I934" s="1689">
        <f t="shared" si="194"/>
        <v>0</v>
      </c>
      <c r="J934" s="1689">
        <f t="shared" si="194"/>
        <v>0</v>
      </c>
      <c r="K934" s="1689">
        <f t="shared" si="194"/>
        <v>0</v>
      </c>
      <c r="L934" s="1689">
        <f t="shared" si="194"/>
        <v>0</v>
      </c>
      <c r="M934" s="1689">
        <f t="shared" si="194"/>
        <v>0</v>
      </c>
      <c r="N934" s="1689">
        <f t="shared" si="194"/>
        <v>0</v>
      </c>
      <c r="O934" s="1689"/>
      <c r="P934" s="1689"/>
      <c r="Q934" s="985"/>
      <c r="R934" s="985"/>
      <c r="S934" s="985"/>
      <c r="T934" s="1858">
        <f t="shared" si="180"/>
        <v>0</v>
      </c>
    </row>
    <row r="935" spans="1:20" ht="22.2" hidden="1" customHeight="1">
      <c r="A935" s="1444">
        <f>COUNTIF($C$12:C935,"x")</f>
        <v>41</v>
      </c>
      <c r="B935" s="1451" t="s">
        <v>457</v>
      </c>
      <c r="C935" s="966" t="str">
        <f t="shared" si="173"/>
        <v xml:space="preserve"> </v>
      </c>
      <c r="D935" s="1410">
        <f>3.77*0.81</f>
        <v>3.0537000000000001</v>
      </c>
      <c r="E935" s="976"/>
      <c r="F935" s="988" t="str">
        <f>VLOOKUP($B935,DG!A:D,DG!$C$2,)</f>
        <v>Sắt góc L50 x50 x5</v>
      </c>
      <c r="G935" s="976" t="str">
        <f>VLOOKUP($B935,DG!A:D,DG!$D$2,)</f>
        <v>kg</v>
      </c>
      <c r="H935" s="1689">
        <f t="shared" si="194"/>
        <v>0</v>
      </c>
      <c r="I935" s="1689">
        <f t="shared" si="194"/>
        <v>0</v>
      </c>
      <c r="J935" s="1689">
        <f t="shared" si="194"/>
        <v>0</v>
      </c>
      <c r="K935" s="1689">
        <f t="shared" si="194"/>
        <v>0</v>
      </c>
      <c r="L935" s="1689">
        <f t="shared" si="194"/>
        <v>0</v>
      </c>
      <c r="M935" s="1689">
        <f t="shared" si="194"/>
        <v>0</v>
      </c>
      <c r="N935" s="1689">
        <f t="shared" si="194"/>
        <v>0</v>
      </c>
      <c r="O935" s="1689"/>
      <c r="P935" s="1689"/>
      <c r="Q935" s="985"/>
      <c r="R935" s="985"/>
      <c r="S935" s="985"/>
      <c r="T935" s="1858">
        <f t="shared" si="180"/>
        <v>0</v>
      </c>
    </row>
    <row r="936" spans="1:20" ht="22.2" hidden="1" customHeight="1">
      <c r="A936" s="1444">
        <f>COUNTIF($C$12:C936,"x")</f>
        <v>41</v>
      </c>
      <c r="B936" s="1451" t="s">
        <v>1609</v>
      </c>
      <c r="C936" s="966" t="str">
        <f t="shared" si="173"/>
        <v xml:space="preserve"> </v>
      </c>
      <c r="D936" s="1411">
        <v>2</v>
      </c>
      <c r="E936" s="976"/>
      <c r="F936" s="988" t="str">
        <f>VLOOKUP($B936,DG!A:D,DG!$C$2,)</f>
        <v>Boulon 16x250+ 2 long đền vuông D18-50x50x3/Zn</v>
      </c>
      <c r="G936" s="976" t="str">
        <f>VLOOKUP($B936,DG!A:D,DG!$D$2,)</f>
        <v>bộ</v>
      </c>
      <c r="H936" s="1689">
        <f t="shared" si="194"/>
        <v>0</v>
      </c>
      <c r="I936" s="1689">
        <f t="shared" si="194"/>
        <v>0</v>
      </c>
      <c r="J936" s="1689">
        <f t="shared" si="194"/>
        <v>0</v>
      </c>
      <c r="K936" s="1689">
        <f t="shared" si="194"/>
        <v>0</v>
      </c>
      <c r="L936" s="1689">
        <f t="shared" si="194"/>
        <v>0</v>
      </c>
      <c r="M936" s="1689">
        <f t="shared" si="194"/>
        <v>0</v>
      </c>
      <c r="N936" s="1689">
        <f t="shared" si="194"/>
        <v>0</v>
      </c>
      <c r="O936" s="1689"/>
      <c r="P936" s="1689"/>
      <c r="Q936" s="985"/>
      <c r="R936" s="985"/>
      <c r="S936" s="985"/>
      <c r="T936" s="1858">
        <f t="shared" si="180"/>
        <v>0</v>
      </c>
    </row>
    <row r="937" spans="1:20" ht="22.2" hidden="1" customHeight="1">
      <c r="A937" s="1444">
        <f>COUNTIF($C$12:C937,"x")</f>
        <v>41</v>
      </c>
      <c r="B937" s="1451" t="s">
        <v>1786</v>
      </c>
      <c r="C937" s="966" t="str">
        <f t="shared" si="173"/>
        <v xml:space="preserve"> </v>
      </c>
      <c r="D937" s="1411">
        <v>1</v>
      </c>
      <c r="E937" s="976"/>
      <c r="F937" s="988" t="str">
        <f>VLOOKUP($B937,DG!A:D,DG!$C$2,)</f>
        <v>Boulon 16x50+ 2 long đền vuông D18-50x50x3/Zn</v>
      </c>
      <c r="G937" s="976" t="str">
        <f>VLOOKUP($B937,DG!A:D,DG!$D$2,)</f>
        <v>bộ</v>
      </c>
      <c r="H937" s="1689">
        <f t="shared" si="194"/>
        <v>0</v>
      </c>
      <c r="I937" s="1689">
        <f t="shared" si="194"/>
        <v>0</v>
      </c>
      <c r="J937" s="1689">
        <f t="shared" si="194"/>
        <v>0</v>
      </c>
      <c r="K937" s="1689">
        <f t="shared" si="194"/>
        <v>0</v>
      </c>
      <c r="L937" s="1689">
        <f t="shared" si="194"/>
        <v>0</v>
      </c>
      <c r="M937" s="1689">
        <f t="shared" si="194"/>
        <v>0</v>
      </c>
      <c r="N937" s="1689">
        <f t="shared" si="194"/>
        <v>0</v>
      </c>
      <c r="O937" s="1689"/>
      <c r="P937" s="1689"/>
      <c r="Q937" s="985"/>
      <c r="R937" s="985"/>
      <c r="S937" s="985"/>
      <c r="T937" s="1858">
        <f t="shared" si="180"/>
        <v>0</v>
      </c>
    </row>
    <row r="938" spans="1:20" ht="22.2" hidden="1" customHeight="1">
      <c r="A938" s="1444">
        <f>COUNTIF($C$12:C938,"x")</f>
        <v>41</v>
      </c>
      <c r="B938" s="1465" t="s">
        <v>1995</v>
      </c>
      <c r="C938" s="966" t="str">
        <f t="shared" si="173"/>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80"/>
        <v>0</v>
      </c>
    </row>
    <row r="939" spans="1:20" ht="22.2" hidden="1" customHeight="1">
      <c r="A939" s="1444">
        <f>COUNTIF($C$12:C939,"x")</f>
        <v>41</v>
      </c>
      <c r="B939" s="1451" t="s">
        <v>1996</v>
      </c>
      <c r="C939" s="966" t="str">
        <f t="shared" si="173"/>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80"/>
        <v>0</v>
      </c>
    </row>
    <row r="940" spans="1:20" ht="22.2" hidden="1" customHeight="1">
      <c r="A940" s="1444">
        <f>COUNTIF($C$12:C940,"x")</f>
        <v>41</v>
      </c>
      <c r="B940" s="1460" t="s">
        <v>1997</v>
      </c>
      <c r="C940" s="966" t="str">
        <f t="shared" si="173"/>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80"/>
        <v>0</v>
      </c>
    </row>
    <row r="941" spans="1:20" ht="22.2" hidden="1" customHeight="1">
      <c r="A941" s="1444">
        <f>COUNTIF($C$12:C941,"x")</f>
        <v>41</v>
      </c>
      <c r="B941" s="1460" t="s">
        <v>635</v>
      </c>
      <c r="C941" s="966" t="str">
        <f t="shared" si="173"/>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80"/>
        <v>0</v>
      </c>
    </row>
    <row r="942" spans="1:20" ht="22.2" hidden="1" customHeight="1">
      <c r="A942" s="1444">
        <f>COUNTIF($C$12:C942,"x")</f>
        <v>41</v>
      </c>
      <c r="B942" s="1448" t="s">
        <v>344</v>
      </c>
      <c r="C942" s="966" t="str">
        <f t="shared" si="173"/>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2" hidden="1" customHeight="1">
      <c r="A943" s="1444">
        <f>COUNTIF($C$12:C943,"x")</f>
        <v>41</v>
      </c>
      <c r="B943" s="1451" t="s">
        <v>109</v>
      </c>
      <c r="C943" s="966" t="str">
        <f t="shared" si="173"/>
        <v xml:space="preserve"> </v>
      </c>
      <c r="D943" s="1410">
        <f>9.02*(0.8+0.07)*2</f>
        <v>15.694800000000001</v>
      </c>
      <c r="E943" s="976"/>
      <c r="F943" s="988" t="str">
        <f>VLOOKUP($B943,DG!A:D,DG!$C$2,)</f>
        <v>Sắt góc L75 x75 x8</v>
      </c>
      <c r="G943" s="976" t="str">
        <f>VLOOKUP($B943,DG!A:D,DG!$D$2,)</f>
        <v>kg</v>
      </c>
      <c r="H943" s="1689">
        <f t="shared" ref="H943:N947" si="195">H$942*$D943</f>
        <v>0</v>
      </c>
      <c r="I943" s="1689">
        <f t="shared" si="195"/>
        <v>0</v>
      </c>
      <c r="J943" s="1689">
        <f t="shared" si="195"/>
        <v>0</v>
      </c>
      <c r="K943" s="1689">
        <f t="shared" si="195"/>
        <v>0</v>
      </c>
      <c r="L943" s="1689">
        <f t="shared" si="195"/>
        <v>0</v>
      </c>
      <c r="M943" s="1689">
        <f t="shared" si="195"/>
        <v>0</v>
      </c>
      <c r="N943" s="1689">
        <f t="shared" si="195"/>
        <v>0</v>
      </c>
      <c r="O943" s="1689"/>
      <c r="P943" s="1689"/>
      <c r="Q943" s="985"/>
      <c r="R943" s="985"/>
      <c r="S943" s="985"/>
      <c r="T943" s="1858">
        <f t="shared" si="180"/>
        <v>0</v>
      </c>
    </row>
    <row r="944" spans="1:20" ht="22.2" hidden="1" customHeight="1">
      <c r="A944" s="1444">
        <f>COUNTIF($C$12:C944,"x")</f>
        <v>41</v>
      </c>
      <c r="B944" s="1451" t="s">
        <v>457</v>
      </c>
      <c r="C944" s="966" t="str">
        <f t="shared" si="173"/>
        <v xml:space="preserve"> </v>
      </c>
      <c r="D944" s="1410">
        <f>3.77*0.81*2</f>
        <v>6.1074000000000002</v>
      </c>
      <c r="E944" s="976"/>
      <c r="F944" s="988" t="str">
        <f>VLOOKUP($B944,DG!A:D,DG!$C$2,)</f>
        <v>Sắt góc L50 x50 x5</v>
      </c>
      <c r="G944" s="976" t="str">
        <f>VLOOKUP($B944,DG!A:D,DG!$D$2,)</f>
        <v>kg</v>
      </c>
      <c r="H944" s="1689">
        <f t="shared" si="195"/>
        <v>0</v>
      </c>
      <c r="I944" s="1689">
        <f t="shared" si="195"/>
        <v>0</v>
      </c>
      <c r="J944" s="1689">
        <f t="shared" si="195"/>
        <v>0</v>
      </c>
      <c r="K944" s="1689">
        <f t="shared" si="195"/>
        <v>0</v>
      </c>
      <c r="L944" s="1689">
        <f t="shared" si="195"/>
        <v>0</v>
      </c>
      <c r="M944" s="1689">
        <f t="shared" si="195"/>
        <v>0</v>
      </c>
      <c r="N944" s="1689">
        <f t="shared" si="195"/>
        <v>0</v>
      </c>
      <c r="O944" s="1689"/>
      <c r="P944" s="1689"/>
      <c r="Q944" s="985"/>
      <c r="R944" s="985"/>
      <c r="S944" s="985"/>
      <c r="T944" s="1858">
        <f t="shared" si="180"/>
        <v>0</v>
      </c>
    </row>
    <row r="945" spans="1:20" ht="22.2" hidden="1" customHeight="1">
      <c r="A945" s="1444">
        <f>COUNTIF($C$12:C945,"x")</f>
        <v>41</v>
      </c>
      <c r="B945" s="1451" t="s">
        <v>1083</v>
      </c>
      <c r="C945" s="966" t="str">
        <f t="shared" si="173"/>
        <v xml:space="preserve"> </v>
      </c>
      <c r="D945" s="1411">
        <v>2</v>
      </c>
      <c r="E945" s="976"/>
      <c r="F945" s="988" t="str">
        <f>VLOOKUP($B945,DG!A:D,DG!$C$2,)</f>
        <v>Boulon 16x400+ 2 long đền vuông D18-50x50x3/Zn</v>
      </c>
      <c r="G945" s="976" t="str">
        <f>VLOOKUP($B945,DG!A:D,DG!$D$2,)</f>
        <v>bộ</v>
      </c>
      <c r="H945" s="1689">
        <f t="shared" si="195"/>
        <v>0</v>
      </c>
      <c r="I945" s="1689">
        <f t="shared" si="195"/>
        <v>0</v>
      </c>
      <c r="J945" s="1689">
        <f t="shared" si="195"/>
        <v>0</v>
      </c>
      <c r="K945" s="1689">
        <f t="shared" si="195"/>
        <v>0</v>
      </c>
      <c r="L945" s="1689">
        <f t="shared" si="195"/>
        <v>0</v>
      </c>
      <c r="M945" s="1689">
        <f t="shared" si="195"/>
        <v>0</v>
      </c>
      <c r="N945" s="1689">
        <f t="shared" si="195"/>
        <v>0</v>
      </c>
      <c r="O945" s="1689"/>
      <c r="P945" s="1689"/>
      <c r="Q945" s="985"/>
      <c r="R945" s="985"/>
      <c r="S945" s="985"/>
      <c r="T945" s="1858">
        <f t="shared" si="180"/>
        <v>0</v>
      </c>
    </row>
    <row r="946" spans="1:20" ht="22.2" hidden="1" customHeight="1">
      <c r="A946" s="1444">
        <f>COUNTIF($C$12:C946,"x")</f>
        <v>41</v>
      </c>
      <c r="B946" s="1451" t="s">
        <v>1739</v>
      </c>
      <c r="C946" s="966" t="str">
        <f t="shared" si="173"/>
        <v xml:space="preserve"> </v>
      </c>
      <c r="D946" s="1411">
        <v>1</v>
      </c>
      <c r="E946" s="976"/>
      <c r="F946" s="988" t="str">
        <f>VLOOKUP($B946,DG!A:D,DG!$C$2,)</f>
        <v>Boulon 16x400VRS+ 4 long đền vuông D18-50x50x3/Zn</v>
      </c>
      <c r="G946" s="976" t="str">
        <f>VLOOKUP($B946,DG!A:D,DG!$D$2,)</f>
        <v>bộ</v>
      </c>
      <c r="H946" s="1689">
        <f t="shared" si="195"/>
        <v>0</v>
      </c>
      <c r="I946" s="1689">
        <f t="shared" si="195"/>
        <v>0</v>
      </c>
      <c r="J946" s="1689">
        <f t="shared" si="195"/>
        <v>0</v>
      </c>
      <c r="K946" s="1689">
        <f t="shared" si="195"/>
        <v>0</v>
      </c>
      <c r="L946" s="1689">
        <f t="shared" si="195"/>
        <v>0</v>
      </c>
      <c r="M946" s="1689">
        <f t="shared" si="195"/>
        <v>0</v>
      </c>
      <c r="N946" s="1689">
        <f t="shared" si="195"/>
        <v>0</v>
      </c>
      <c r="O946" s="1689"/>
      <c r="P946" s="1689"/>
      <c r="Q946" s="985"/>
      <c r="R946" s="985"/>
      <c r="S946" s="985"/>
      <c r="T946" s="1858">
        <f t="shared" si="180"/>
        <v>0</v>
      </c>
    </row>
    <row r="947" spans="1:20" ht="22.2" hidden="1" customHeight="1">
      <c r="A947" s="1444">
        <f>COUNTIF($C$12:C947,"x")</f>
        <v>41</v>
      </c>
      <c r="B947" s="1451" t="s">
        <v>1786</v>
      </c>
      <c r="C947" s="966" t="str">
        <f t="shared" si="173"/>
        <v xml:space="preserve"> </v>
      </c>
      <c r="D947" s="1411">
        <v>2</v>
      </c>
      <c r="E947" s="976"/>
      <c r="F947" s="988" t="str">
        <f>VLOOKUP($B947,DG!A:D,DG!$C$2,)</f>
        <v>Boulon 16x50+ 2 long đền vuông D18-50x50x3/Zn</v>
      </c>
      <c r="G947" s="976" t="str">
        <f>VLOOKUP($B947,DG!A:D,DG!$D$2,)</f>
        <v>bộ</v>
      </c>
      <c r="H947" s="1689">
        <f t="shared" si="195"/>
        <v>0</v>
      </c>
      <c r="I947" s="1689">
        <f t="shared" si="195"/>
        <v>0</v>
      </c>
      <c r="J947" s="1689">
        <f t="shared" si="195"/>
        <v>0</v>
      </c>
      <c r="K947" s="1689">
        <f t="shared" si="195"/>
        <v>0</v>
      </c>
      <c r="L947" s="1689">
        <f t="shared" si="195"/>
        <v>0</v>
      </c>
      <c r="M947" s="1689">
        <f t="shared" si="195"/>
        <v>0</v>
      </c>
      <c r="N947" s="1689">
        <f t="shared" si="195"/>
        <v>0</v>
      </c>
      <c r="O947" s="1689"/>
      <c r="P947" s="1689"/>
      <c r="Q947" s="985"/>
      <c r="R947" s="985"/>
      <c r="S947" s="985"/>
      <c r="T947" s="1858">
        <f t="shared" si="180"/>
        <v>0</v>
      </c>
    </row>
    <row r="948" spans="1:20" ht="22.2" hidden="1" customHeight="1">
      <c r="A948" s="1444">
        <f>COUNTIF($C$12:C948,"x")</f>
        <v>41</v>
      </c>
      <c r="B948" s="1465" t="s">
        <v>2007</v>
      </c>
      <c r="C948" s="966" t="str">
        <f t="shared" si="173"/>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80"/>
        <v>0</v>
      </c>
    </row>
    <row r="949" spans="1:20" ht="22.2" hidden="1" customHeight="1">
      <c r="A949" s="1444">
        <f>COUNTIF($C$12:C949,"x")</f>
        <v>41</v>
      </c>
      <c r="B949" s="1451" t="s">
        <v>1996</v>
      </c>
      <c r="C949" s="966" t="str">
        <f t="shared" si="173"/>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80"/>
        <v>0</v>
      </c>
    </row>
    <row r="950" spans="1:20" ht="22.2" hidden="1" customHeight="1">
      <c r="A950" s="1444">
        <f>COUNTIF($C$12:C950,"x")</f>
        <v>41</v>
      </c>
      <c r="B950" s="1460" t="s">
        <v>1997</v>
      </c>
      <c r="C950" s="966" t="str">
        <f t="shared" ref="C950:C1013" si="196">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80"/>
        <v>0</v>
      </c>
    </row>
    <row r="951" spans="1:20" ht="22.2" hidden="1" customHeight="1">
      <c r="A951" s="1444">
        <f>COUNTIF($C$12:C951,"x")</f>
        <v>41</v>
      </c>
      <c r="B951" s="1460" t="s">
        <v>635</v>
      </c>
      <c r="C951" s="966" t="str">
        <f t="shared" si="196"/>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80"/>
        <v>0</v>
      </c>
    </row>
    <row r="952" spans="1:20" ht="22.2" hidden="1" customHeight="1">
      <c r="A952" s="1444">
        <f>COUNTIF($C$12:C952,"x")</f>
        <v>41</v>
      </c>
      <c r="B952" s="1448" t="s">
        <v>2292</v>
      </c>
      <c r="C952" s="966" t="str">
        <f t="shared" si="196"/>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2" hidden="1" customHeight="1">
      <c r="A953" s="1444">
        <f>COUNTIF($C$12:C953,"x")</f>
        <v>41</v>
      </c>
      <c r="B953" s="1451" t="s">
        <v>4818</v>
      </c>
      <c r="C953" s="966" t="str">
        <f t="shared" si="196"/>
        <v xml:space="preserve"> </v>
      </c>
      <c r="D953" s="1410">
        <v>1</v>
      </c>
      <c r="E953" s="976"/>
      <c r="F953" s="988" t="str">
        <f>VLOOKUP($B953,DG!A:D,DG!$C$2,)</f>
        <v>Sắt góc L75 x75 x8-2100</v>
      </c>
      <c r="G953" s="976" t="str">
        <f>VLOOKUP($B953,DG!A:D,DG!$D$2,)</f>
        <v>cái</v>
      </c>
      <c r="H953" s="1689">
        <f t="shared" ref="H953:R957" si="197">H$952*$D953</f>
        <v>0</v>
      </c>
      <c r="I953" s="1689">
        <f t="shared" si="197"/>
        <v>0</v>
      </c>
      <c r="J953" s="1689">
        <f t="shared" si="197"/>
        <v>0</v>
      </c>
      <c r="K953" s="1689">
        <f t="shared" si="197"/>
        <v>0</v>
      </c>
      <c r="L953" s="1689">
        <f t="shared" si="197"/>
        <v>0</v>
      </c>
      <c r="M953" s="1689">
        <f t="shared" si="197"/>
        <v>0</v>
      </c>
      <c r="N953" s="1689">
        <f t="shared" si="197"/>
        <v>0</v>
      </c>
      <c r="O953" s="1689">
        <f t="shared" si="197"/>
        <v>0</v>
      </c>
      <c r="P953" s="1689">
        <f t="shared" si="197"/>
        <v>0</v>
      </c>
      <c r="Q953" s="1689">
        <f t="shared" si="197"/>
        <v>0</v>
      </c>
      <c r="R953" s="1689">
        <f t="shared" si="197"/>
        <v>0</v>
      </c>
      <c r="S953" s="985"/>
      <c r="T953" s="1858">
        <f t="shared" si="180"/>
        <v>0</v>
      </c>
    </row>
    <row r="954" spans="1:20" ht="22.2" hidden="1" customHeight="1">
      <c r="A954" s="1444">
        <f>COUNTIF($C$12:C954,"x")</f>
        <v>41</v>
      </c>
      <c r="B954" s="1451" t="s">
        <v>4819</v>
      </c>
      <c r="C954" s="966" t="str">
        <f t="shared" si="196"/>
        <v xml:space="preserve"> </v>
      </c>
      <c r="D954" s="1410">
        <v>1</v>
      </c>
      <c r="E954" s="976"/>
      <c r="F954" s="988" t="str">
        <f>VLOOKUP($B954,DG!A:D,DG!$C$2,)</f>
        <v>Sắt góc L50 x50 x5 x1190</v>
      </c>
      <c r="G954" s="976" t="str">
        <f>VLOOKUP($B954,DG!A:D,DG!$D$2,)</f>
        <v>cái</v>
      </c>
      <c r="H954" s="1689">
        <f t="shared" si="197"/>
        <v>0</v>
      </c>
      <c r="I954" s="1689">
        <f t="shared" si="197"/>
        <v>0</v>
      </c>
      <c r="J954" s="1689">
        <f t="shared" si="197"/>
        <v>0</v>
      </c>
      <c r="K954" s="1689">
        <f t="shared" si="197"/>
        <v>0</v>
      </c>
      <c r="L954" s="1689">
        <f t="shared" si="197"/>
        <v>0</v>
      </c>
      <c r="M954" s="1689">
        <f t="shared" si="197"/>
        <v>0</v>
      </c>
      <c r="N954" s="1689">
        <f t="shared" si="197"/>
        <v>0</v>
      </c>
      <c r="O954" s="1689"/>
      <c r="P954" s="1689">
        <f t="shared" si="197"/>
        <v>0</v>
      </c>
      <c r="Q954" s="1689">
        <f t="shared" si="197"/>
        <v>0</v>
      </c>
      <c r="R954" s="1689">
        <f t="shared" si="197"/>
        <v>0</v>
      </c>
      <c r="S954" s="985"/>
      <c r="T954" s="1858">
        <f t="shared" si="180"/>
        <v>0</v>
      </c>
    </row>
    <row r="955" spans="1:20" ht="22.2" hidden="1" customHeight="1">
      <c r="A955" s="1444">
        <f>COUNTIF($C$12:C955,"x")</f>
        <v>41</v>
      </c>
      <c r="B955" s="1451" t="s">
        <v>2106</v>
      </c>
      <c r="C955" s="966" t="str">
        <f t="shared" si="196"/>
        <v xml:space="preserve"> </v>
      </c>
      <c r="D955" s="1410"/>
      <c r="E955" s="976"/>
      <c r="F955" s="988" t="str">
        <f>VLOOKUP($B955,DG!A:D,DG!$C$2,)</f>
        <v>Sắt dẹt 50x5</v>
      </c>
      <c r="G955" s="976" t="str">
        <f>VLOOKUP($B955,DG!A:D,DG!$D$2,)</f>
        <v>kg</v>
      </c>
      <c r="H955" s="1689">
        <f t="shared" si="197"/>
        <v>0</v>
      </c>
      <c r="I955" s="1689">
        <f t="shared" si="197"/>
        <v>0</v>
      </c>
      <c r="J955" s="1689">
        <f t="shared" si="197"/>
        <v>0</v>
      </c>
      <c r="K955" s="1689">
        <f t="shared" si="197"/>
        <v>0</v>
      </c>
      <c r="L955" s="1689">
        <f t="shared" si="197"/>
        <v>0</v>
      </c>
      <c r="M955" s="1689">
        <f t="shared" si="197"/>
        <v>0</v>
      </c>
      <c r="N955" s="1689">
        <f t="shared" si="197"/>
        <v>0</v>
      </c>
      <c r="O955" s="1689"/>
      <c r="P955" s="1689"/>
      <c r="Q955" s="985"/>
      <c r="R955" s="1689"/>
      <c r="S955" s="985"/>
      <c r="T955" s="1858">
        <f t="shared" si="180"/>
        <v>0</v>
      </c>
    </row>
    <row r="956" spans="1:20" ht="22.2" hidden="1" customHeight="1">
      <c r="A956" s="1444">
        <f>COUNTIF($C$12:C956,"x")</f>
        <v>41</v>
      </c>
      <c r="B956" s="1451" t="s">
        <v>1610</v>
      </c>
      <c r="C956" s="966" t="str">
        <f t="shared" si="196"/>
        <v xml:space="preserve"> </v>
      </c>
      <c r="D956" s="1411">
        <v>2</v>
      </c>
      <c r="E956" s="976"/>
      <c r="F956" s="988" t="str">
        <f>VLOOKUP($B956,DG!A:D,DG!$C$2,)</f>
        <v>Boulon 16x300+ 2 long đền vuông D18-50x50x3/Zn</v>
      </c>
      <c r="G956" s="976" t="str">
        <f>VLOOKUP($B956,DG!A:D,DG!$D$2,)</f>
        <v>bộ</v>
      </c>
      <c r="H956" s="1689">
        <f t="shared" si="197"/>
        <v>0</v>
      </c>
      <c r="I956" s="1689">
        <f t="shared" si="197"/>
        <v>0</v>
      </c>
      <c r="J956" s="1689">
        <f t="shared" si="197"/>
        <v>0</v>
      </c>
      <c r="K956" s="1689">
        <f t="shared" si="197"/>
        <v>0</v>
      </c>
      <c r="L956" s="1689">
        <f t="shared" si="197"/>
        <v>0</v>
      </c>
      <c r="M956" s="1689">
        <f t="shared" si="197"/>
        <v>0</v>
      </c>
      <c r="N956" s="1689">
        <f t="shared" si="197"/>
        <v>0</v>
      </c>
      <c r="O956" s="1689"/>
      <c r="P956" s="1689">
        <f t="shared" si="197"/>
        <v>0</v>
      </c>
      <c r="Q956" s="1689">
        <f t="shared" si="197"/>
        <v>0</v>
      </c>
      <c r="R956" s="1689">
        <f t="shared" si="197"/>
        <v>0</v>
      </c>
      <c r="S956" s="985"/>
      <c r="T956" s="1858">
        <f t="shared" ref="T956:T1019" si="198">IFERROR(HLOOKUP(B956,BangKeTru,3,0),0)</f>
        <v>0</v>
      </c>
    </row>
    <row r="957" spans="1:20" ht="22.2" hidden="1" customHeight="1">
      <c r="A957" s="1444">
        <f>COUNTIF($C$12:C957,"x")</f>
        <v>41</v>
      </c>
      <c r="B957" s="1451" t="s">
        <v>1786</v>
      </c>
      <c r="C957" s="966" t="str">
        <f t="shared" si="196"/>
        <v xml:space="preserve"> </v>
      </c>
      <c r="D957" s="1411">
        <v>1</v>
      </c>
      <c r="E957" s="976"/>
      <c r="F957" s="988" t="str">
        <f>VLOOKUP($B957,DG!A:D,DG!$C$2,)</f>
        <v>Boulon 16x50+ 2 long đền vuông D18-50x50x3/Zn</v>
      </c>
      <c r="G957" s="976" t="str">
        <f>VLOOKUP($B957,DG!A:D,DG!$D$2,)</f>
        <v>bộ</v>
      </c>
      <c r="H957" s="1689">
        <f t="shared" si="197"/>
        <v>0</v>
      </c>
      <c r="I957" s="1689">
        <f t="shared" si="197"/>
        <v>0</v>
      </c>
      <c r="J957" s="1689">
        <f t="shared" si="197"/>
        <v>0</v>
      </c>
      <c r="K957" s="1689">
        <f t="shared" si="197"/>
        <v>0</v>
      </c>
      <c r="L957" s="1689">
        <f t="shared" si="197"/>
        <v>0</v>
      </c>
      <c r="M957" s="1689">
        <f t="shared" si="197"/>
        <v>0</v>
      </c>
      <c r="N957" s="1689">
        <f t="shared" si="197"/>
        <v>0</v>
      </c>
      <c r="O957" s="1689"/>
      <c r="P957" s="1689">
        <f t="shared" si="197"/>
        <v>0</v>
      </c>
      <c r="Q957" s="1689">
        <f t="shared" si="197"/>
        <v>0</v>
      </c>
      <c r="R957" s="1689">
        <f t="shared" si="197"/>
        <v>0</v>
      </c>
      <c r="S957" s="985"/>
      <c r="T957" s="1858">
        <f t="shared" si="198"/>
        <v>0</v>
      </c>
    </row>
    <row r="958" spans="1:20" ht="22.2" hidden="1" customHeight="1">
      <c r="A958" s="1444">
        <f>COUNTIF($C$12:C958,"x")</f>
        <v>41</v>
      </c>
      <c r="B958" s="1461" t="s">
        <v>985</v>
      </c>
      <c r="C958" s="966" t="str">
        <f t="shared" si="196"/>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8"/>
        <v>0</v>
      </c>
    </row>
    <row r="959" spans="1:20" ht="22.2" hidden="1" customHeight="1">
      <c r="A959" s="1444">
        <f>COUNTIF($C$12:C959,"x")</f>
        <v>41</v>
      </c>
      <c r="B959" s="1451" t="s">
        <v>1996</v>
      </c>
      <c r="C959" s="966" t="str">
        <f t="shared" si="196"/>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8"/>
        <v>0</v>
      </c>
    </row>
    <row r="960" spans="1:20" ht="22.2" hidden="1" customHeight="1">
      <c r="A960" s="1444">
        <f>COUNTIF($C$12:C960,"x")</f>
        <v>41</v>
      </c>
      <c r="B960" s="1460" t="s">
        <v>1997</v>
      </c>
      <c r="C960" s="966" t="str">
        <f t="shared" si="196"/>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8"/>
        <v>0</v>
      </c>
    </row>
    <row r="961" spans="1:20" ht="22.2" hidden="1" customHeight="1">
      <c r="A961" s="1444">
        <f>COUNTIF($C$12:C961,"x")</f>
        <v>41</v>
      </c>
      <c r="B961" s="1460" t="s">
        <v>635</v>
      </c>
      <c r="C961" s="966" t="str">
        <f t="shared" si="196"/>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8"/>
        <v>0</v>
      </c>
    </row>
    <row r="962" spans="1:20" ht="22.2" hidden="1" customHeight="1">
      <c r="A962" s="1444">
        <f>COUNTIF($C$12:C962,"x")</f>
        <v>41</v>
      </c>
      <c r="B962" s="1448" t="s">
        <v>893</v>
      </c>
      <c r="C962" s="966" t="str">
        <f t="shared" si="196"/>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2" hidden="1" customHeight="1">
      <c r="A963" s="1444">
        <f>COUNTIF($C$12:C963,"x")</f>
        <v>41</v>
      </c>
      <c r="B963" s="1451" t="s">
        <v>4818</v>
      </c>
      <c r="C963" s="966" t="str">
        <f t="shared" si="196"/>
        <v xml:space="preserve"> </v>
      </c>
      <c r="D963" s="1410">
        <v>2</v>
      </c>
      <c r="E963" s="976"/>
      <c r="F963" s="988" t="str">
        <f>VLOOKUP($B963,DG!A:D,DG!$C$2,)</f>
        <v>Sắt góc L75 x75 x8-2100</v>
      </c>
      <c r="G963" s="976" t="str">
        <f>VLOOKUP($B963,DG!A:D,DG!$D$2,)</f>
        <v>cái</v>
      </c>
      <c r="H963" s="1689">
        <f t="shared" ref="H963:R968" si="199">H$962*$D963</f>
        <v>0</v>
      </c>
      <c r="I963" s="1689">
        <f t="shared" si="199"/>
        <v>0</v>
      </c>
      <c r="J963" s="1689">
        <f t="shared" si="199"/>
        <v>0</v>
      </c>
      <c r="K963" s="1689">
        <f t="shared" si="199"/>
        <v>0</v>
      </c>
      <c r="L963" s="1689">
        <f t="shared" si="199"/>
        <v>0</v>
      </c>
      <c r="M963" s="1689">
        <f t="shared" si="199"/>
        <v>0</v>
      </c>
      <c r="N963" s="1689">
        <f t="shared" si="199"/>
        <v>0</v>
      </c>
      <c r="O963" s="1689">
        <f t="shared" si="199"/>
        <v>0</v>
      </c>
      <c r="P963" s="1689">
        <f t="shared" si="199"/>
        <v>0</v>
      </c>
      <c r="Q963" s="1689">
        <f t="shared" si="199"/>
        <v>0</v>
      </c>
      <c r="R963" s="1689">
        <f t="shared" si="199"/>
        <v>0</v>
      </c>
      <c r="S963" s="985"/>
      <c r="T963" s="1858">
        <f t="shared" si="198"/>
        <v>0</v>
      </c>
    </row>
    <row r="964" spans="1:20" ht="22.2" hidden="1" customHeight="1">
      <c r="A964" s="1444">
        <f>COUNTIF($C$12:C964,"x")</f>
        <v>41</v>
      </c>
      <c r="B964" s="1451" t="s">
        <v>4819</v>
      </c>
      <c r="C964" s="966" t="str">
        <f t="shared" si="196"/>
        <v xml:space="preserve"> </v>
      </c>
      <c r="D964" s="1410">
        <v>2</v>
      </c>
      <c r="E964" s="976"/>
      <c r="F964" s="988" t="str">
        <f>VLOOKUP($B964,DG!A:D,DG!$C$2,)</f>
        <v>Sắt góc L50 x50 x5 x1190</v>
      </c>
      <c r="G964" s="976" t="str">
        <f>VLOOKUP($B964,DG!A:D,DG!$D$2,)</f>
        <v>cái</v>
      </c>
      <c r="H964" s="1689">
        <f t="shared" si="199"/>
        <v>0</v>
      </c>
      <c r="I964" s="1689">
        <f t="shared" si="199"/>
        <v>0</v>
      </c>
      <c r="J964" s="1689">
        <f t="shared" si="199"/>
        <v>0</v>
      </c>
      <c r="K964" s="1689">
        <f t="shared" si="199"/>
        <v>0</v>
      </c>
      <c r="L964" s="1689">
        <f t="shared" si="199"/>
        <v>0</v>
      </c>
      <c r="M964" s="1689">
        <f t="shared" si="199"/>
        <v>0</v>
      </c>
      <c r="N964" s="1689">
        <f t="shared" si="199"/>
        <v>0</v>
      </c>
      <c r="O964" s="1689"/>
      <c r="P964" s="1689">
        <f t="shared" si="199"/>
        <v>0</v>
      </c>
      <c r="Q964" s="1689">
        <f t="shared" si="199"/>
        <v>0</v>
      </c>
      <c r="R964" s="1689">
        <f t="shared" si="199"/>
        <v>0</v>
      </c>
      <c r="S964" s="985"/>
      <c r="T964" s="1858">
        <f t="shared" si="198"/>
        <v>0</v>
      </c>
    </row>
    <row r="965" spans="1:20" ht="22.2" hidden="1" customHeight="1">
      <c r="A965" s="1444">
        <f>COUNTIF($C$12:C965,"x")</f>
        <v>41</v>
      </c>
      <c r="B965" s="1451" t="s">
        <v>2106</v>
      </c>
      <c r="C965" s="966" t="str">
        <f t="shared" si="196"/>
        <v xml:space="preserve"> </v>
      </c>
      <c r="D965" s="1410"/>
      <c r="E965" s="976"/>
      <c r="F965" s="988" t="str">
        <f>VLOOKUP($B965,DG!A:D,DG!$C$2,)</f>
        <v>Sắt dẹt 50x5</v>
      </c>
      <c r="G965" s="976" t="str">
        <f>VLOOKUP($B965,DG!A:D,DG!$D$2,)</f>
        <v>kg</v>
      </c>
      <c r="H965" s="1689">
        <f t="shared" si="199"/>
        <v>0</v>
      </c>
      <c r="I965" s="1689">
        <f t="shared" si="199"/>
        <v>0</v>
      </c>
      <c r="J965" s="1689">
        <f t="shared" si="199"/>
        <v>0</v>
      </c>
      <c r="K965" s="1689">
        <f t="shared" si="199"/>
        <v>0</v>
      </c>
      <c r="L965" s="1689">
        <f t="shared" si="199"/>
        <v>0</v>
      </c>
      <c r="M965" s="1689">
        <f t="shared" si="199"/>
        <v>0</v>
      </c>
      <c r="N965" s="1689">
        <f t="shared" si="199"/>
        <v>0</v>
      </c>
      <c r="O965" s="1689"/>
      <c r="P965" s="1689"/>
      <c r="Q965" s="1689"/>
      <c r="R965" s="985"/>
      <c r="S965" s="985"/>
      <c r="T965" s="1858">
        <f t="shared" si="198"/>
        <v>0</v>
      </c>
    </row>
    <row r="966" spans="1:20" ht="22.2" hidden="1" customHeight="1">
      <c r="A966" s="1444">
        <f>COUNTIF($C$12:C966,"x")</f>
        <v>41</v>
      </c>
      <c r="B966" s="1451" t="s">
        <v>415</v>
      </c>
      <c r="C966" s="966" t="str">
        <f t="shared" si="196"/>
        <v xml:space="preserve"> </v>
      </c>
      <c r="D966" s="1411">
        <v>3</v>
      </c>
      <c r="E966" s="976"/>
      <c r="F966" s="988" t="str">
        <f>VLOOKUP($B966,DG!A:D,DG!$C$2,)</f>
        <v>Boulon 16x300VRS+ 4 long đền vuông D18-50x50x3/Zn</v>
      </c>
      <c r="G966" s="976" t="str">
        <f>VLOOKUP($B966,DG!A:D,DG!$D$2,)</f>
        <v>bộ</v>
      </c>
      <c r="H966" s="1689">
        <f t="shared" si="199"/>
        <v>0</v>
      </c>
      <c r="I966" s="1689">
        <f t="shared" si="199"/>
        <v>0</v>
      </c>
      <c r="J966" s="1689">
        <f t="shared" si="199"/>
        <v>0</v>
      </c>
      <c r="K966" s="1689">
        <f t="shared" si="199"/>
        <v>0</v>
      </c>
      <c r="L966" s="1689">
        <f t="shared" si="199"/>
        <v>0</v>
      </c>
      <c r="M966" s="1689">
        <f t="shared" si="199"/>
        <v>0</v>
      </c>
      <c r="N966" s="1689">
        <f t="shared" si="199"/>
        <v>0</v>
      </c>
      <c r="O966" s="1689"/>
      <c r="P966" s="1689">
        <f t="shared" si="199"/>
        <v>0</v>
      </c>
      <c r="Q966" s="1689">
        <f t="shared" si="199"/>
        <v>0</v>
      </c>
      <c r="R966" s="1689">
        <f t="shared" si="199"/>
        <v>0</v>
      </c>
      <c r="S966" s="985"/>
      <c r="T966" s="1858">
        <f t="shared" si="198"/>
        <v>0</v>
      </c>
    </row>
    <row r="967" spans="1:20" ht="22.2" hidden="1" customHeight="1">
      <c r="A967" s="1444">
        <f>COUNTIF($C$12:C967,"x")</f>
        <v>41</v>
      </c>
      <c r="B967" s="1451" t="s">
        <v>1610</v>
      </c>
      <c r="C967" s="966" t="str">
        <f t="shared" si="196"/>
        <v xml:space="preserve"> </v>
      </c>
      <c r="D967" s="1411">
        <v>2</v>
      </c>
      <c r="E967" s="976"/>
      <c r="F967" s="988" t="str">
        <f>VLOOKUP($B967,DG!A:D,DG!$C$2,)</f>
        <v>Boulon 16x300+ 2 long đền vuông D18-50x50x3/Zn</v>
      </c>
      <c r="G967" s="976" t="str">
        <f>VLOOKUP($B967,DG!A:D,DG!$D$2,)</f>
        <v>bộ</v>
      </c>
      <c r="H967" s="1689">
        <f t="shared" si="199"/>
        <v>0</v>
      </c>
      <c r="I967" s="1689">
        <f t="shared" si="199"/>
        <v>0</v>
      </c>
      <c r="J967" s="1689">
        <f t="shared" si="199"/>
        <v>0</v>
      </c>
      <c r="K967" s="1689">
        <f t="shared" si="199"/>
        <v>0</v>
      </c>
      <c r="L967" s="1689">
        <f t="shared" si="199"/>
        <v>0</v>
      </c>
      <c r="M967" s="1689">
        <f t="shared" si="199"/>
        <v>0</v>
      </c>
      <c r="N967" s="1689">
        <f t="shared" si="199"/>
        <v>0</v>
      </c>
      <c r="O967" s="1689"/>
      <c r="P967" s="1689">
        <f t="shared" si="199"/>
        <v>0</v>
      </c>
      <c r="Q967" s="1689">
        <f t="shared" si="199"/>
        <v>0</v>
      </c>
      <c r="R967" s="1689">
        <f t="shared" si="199"/>
        <v>0</v>
      </c>
      <c r="S967" s="985"/>
      <c r="T967" s="1858">
        <f t="shared" si="198"/>
        <v>0</v>
      </c>
    </row>
    <row r="968" spans="1:20" ht="22.2" hidden="1" customHeight="1">
      <c r="A968" s="1444">
        <f>COUNTIF($C$12:C968,"x")</f>
        <v>41</v>
      </c>
      <c r="B968" s="1451" t="s">
        <v>1785</v>
      </c>
      <c r="C968" s="966" t="str">
        <f t="shared" si="196"/>
        <v xml:space="preserve"> </v>
      </c>
      <c r="D968" s="1411">
        <v>2</v>
      </c>
      <c r="E968" s="976"/>
      <c r="F968" s="988" t="str">
        <f>VLOOKUP($B968,DG!A:D,DG!$C$2,)</f>
        <v>Boulon 16x35+ 2 long đền vuông D18-50x50x3/Zn</v>
      </c>
      <c r="G968" s="976" t="str">
        <f>VLOOKUP($B968,DG!A:D,DG!$D$2,)</f>
        <v>bộ</v>
      </c>
      <c r="H968" s="1689">
        <f t="shared" si="199"/>
        <v>0</v>
      </c>
      <c r="I968" s="1689">
        <f t="shared" si="199"/>
        <v>0</v>
      </c>
      <c r="J968" s="1689">
        <f t="shared" si="199"/>
        <v>0</v>
      </c>
      <c r="K968" s="1689">
        <f t="shared" si="199"/>
        <v>0</v>
      </c>
      <c r="L968" s="1689">
        <f t="shared" si="199"/>
        <v>0</v>
      </c>
      <c r="M968" s="1689">
        <f t="shared" si="199"/>
        <v>0</v>
      </c>
      <c r="N968" s="1689">
        <f t="shared" si="199"/>
        <v>0</v>
      </c>
      <c r="O968" s="1689"/>
      <c r="P968" s="1689">
        <f t="shared" si="199"/>
        <v>0</v>
      </c>
      <c r="Q968" s="1689">
        <f t="shared" si="199"/>
        <v>0</v>
      </c>
      <c r="R968" s="1689">
        <f t="shared" si="199"/>
        <v>0</v>
      </c>
      <c r="S968" s="985"/>
      <c r="T968" s="1858">
        <f t="shared" si="198"/>
        <v>0</v>
      </c>
    </row>
    <row r="969" spans="1:20" ht="22.2" hidden="1" customHeight="1">
      <c r="A969" s="1444">
        <f>COUNTIF($C$12:C969,"x")</f>
        <v>41</v>
      </c>
      <c r="B969" s="1461" t="s">
        <v>517</v>
      </c>
      <c r="C969" s="966" t="str">
        <f t="shared" si="196"/>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8"/>
        <v>0</v>
      </c>
    </row>
    <row r="970" spans="1:20" ht="22.2" hidden="1" customHeight="1">
      <c r="A970" s="1444">
        <f>COUNTIF($C$12:C970,"x")</f>
        <v>41</v>
      </c>
      <c r="B970" s="1451" t="s">
        <v>1996</v>
      </c>
      <c r="C970" s="966" t="str">
        <f t="shared" si="196"/>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8"/>
        <v>0</v>
      </c>
    </row>
    <row r="971" spans="1:20" ht="22.2" hidden="1" customHeight="1">
      <c r="A971" s="1444">
        <f>COUNTIF($C$12:C971,"x")</f>
        <v>41</v>
      </c>
      <c r="B971" s="1460" t="s">
        <v>1997</v>
      </c>
      <c r="C971" s="966" t="str">
        <f t="shared" si="196"/>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8"/>
        <v>0</v>
      </c>
    </row>
    <row r="972" spans="1:20" ht="22.2" hidden="1" customHeight="1">
      <c r="A972" s="1444">
        <f>COUNTIF($C$12:C972,"x")</f>
        <v>41</v>
      </c>
      <c r="B972" s="1460" t="s">
        <v>635</v>
      </c>
      <c r="C972" s="966" t="str">
        <f t="shared" si="196"/>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8"/>
        <v>0</v>
      </c>
    </row>
    <row r="973" spans="1:20" ht="22.2" hidden="1" customHeight="1">
      <c r="A973" s="1444">
        <f>COUNTIF($C$12:C973,"x")</f>
        <v>41</v>
      </c>
      <c r="B973" s="1448" t="s">
        <v>2293</v>
      </c>
      <c r="C973" s="1697" t="str">
        <f t="shared" si="196"/>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2" hidden="1" customHeight="1">
      <c r="A974" s="1444">
        <f>COUNTIF($C$12:C974,"x")</f>
        <v>41</v>
      </c>
      <c r="B974" s="1447" t="s">
        <v>4815</v>
      </c>
      <c r="C974" s="1697" t="str">
        <f t="shared" si="196"/>
        <v xml:space="preserve"> </v>
      </c>
      <c r="D974" s="1410">
        <v>1</v>
      </c>
      <c r="E974" s="976"/>
      <c r="F974" s="988" t="str">
        <f>VLOOKUP($B974,DG!A:D,DG!$C$2,)</f>
        <v>Sắt góc L75 x75 x8-2.200</v>
      </c>
      <c r="G974" s="976" t="str">
        <f>VLOOKUP($B974,DG!A:D,DG!$D$2,)</f>
        <v>cái</v>
      </c>
      <c r="H974" s="1689">
        <f t="shared" ref="H974:N977" si="200">H$973*$D974</f>
        <v>0</v>
      </c>
      <c r="I974" s="1689">
        <f t="shared" si="200"/>
        <v>0</v>
      </c>
      <c r="J974" s="1689">
        <f t="shared" si="200"/>
        <v>0</v>
      </c>
      <c r="K974" s="1689">
        <f t="shared" si="200"/>
        <v>0</v>
      </c>
      <c r="L974" s="1689">
        <f t="shared" si="200"/>
        <v>0</v>
      </c>
      <c r="M974" s="1689">
        <f t="shared" si="200"/>
        <v>0</v>
      </c>
      <c r="N974" s="1689">
        <f t="shared" si="200"/>
        <v>0</v>
      </c>
      <c r="O974" s="1689"/>
      <c r="P974" s="1689">
        <f>$P$973*D974</f>
        <v>0</v>
      </c>
      <c r="Q974" s="2668">
        <f>$Q$973*D974</f>
        <v>0</v>
      </c>
      <c r="R974" s="2668"/>
      <c r="S974" s="985"/>
      <c r="T974" s="1858">
        <f t="shared" si="198"/>
        <v>0</v>
      </c>
    </row>
    <row r="975" spans="1:20" ht="22.2" hidden="1" customHeight="1">
      <c r="A975" s="1444">
        <f>COUNTIF($C$12:C975,"x")</f>
        <v>41</v>
      </c>
      <c r="B975" s="1447" t="s">
        <v>6095</v>
      </c>
      <c r="C975" s="1697" t="str">
        <f t="shared" si="196"/>
        <v xml:space="preserve"> </v>
      </c>
      <c r="D975" s="1410">
        <v>1</v>
      </c>
      <c r="E975" s="976"/>
      <c r="F975" s="988" t="str">
        <f>VLOOKUP($B975,DG!A:D,DG!$C$2,)</f>
        <v>Sắt góc L50 x50 x5 x1150</v>
      </c>
      <c r="G975" s="976" t="str">
        <f>VLOOKUP($B975,DG!A:D,DG!$D$2,)</f>
        <v>cái</v>
      </c>
      <c r="H975" s="1689">
        <f t="shared" si="200"/>
        <v>0</v>
      </c>
      <c r="I975" s="1689">
        <f t="shared" si="200"/>
        <v>0</v>
      </c>
      <c r="J975" s="1689">
        <f t="shared" si="200"/>
        <v>0</v>
      </c>
      <c r="K975" s="1689">
        <f t="shared" si="200"/>
        <v>0</v>
      </c>
      <c r="L975" s="1689">
        <f t="shared" si="200"/>
        <v>0</v>
      </c>
      <c r="M975" s="1689">
        <f t="shared" si="200"/>
        <v>0</v>
      </c>
      <c r="N975" s="1689">
        <f t="shared" si="200"/>
        <v>0</v>
      </c>
      <c r="O975" s="1689"/>
      <c r="P975" s="1689">
        <f>$P$973*D975</f>
        <v>0</v>
      </c>
      <c r="Q975" s="2668">
        <f>$Q$973*D975</f>
        <v>0</v>
      </c>
      <c r="R975" s="2668"/>
      <c r="S975" s="985"/>
      <c r="T975" s="1858">
        <f t="shared" si="198"/>
        <v>0</v>
      </c>
    </row>
    <row r="976" spans="1:20" ht="22.2" hidden="1" customHeight="1">
      <c r="A976" s="1444">
        <f>COUNTIF($C$12:C976,"x")</f>
        <v>41</v>
      </c>
      <c r="B976" s="1447" t="s">
        <v>1609</v>
      </c>
      <c r="C976" s="1697" t="str">
        <f t="shared" si="196"/>
        <v xml:space="preserve"> </v>
      </c>
      <c r="D976" s="1411">
        <v>2</v>
      </c>
      <c r="E976" s="976"/>
      <c r="F976" s="988" t="str">
        <f>VLOOKUP($B976,DG!A:D,DG!$C$2,)</f>
        <v>Boulon 16x250+ 2 long đền vuông D18-50x50x3/Zn</v>
      </c>
      <c r="G976" s="976" t="str">
        <f>VLOOKUP($B976,DG!A:D,DG!$D$2,)</f>
        <v>bộ</v>
      </c>
      <c r="H976" s="1689">
        <f t="shared" si="200"/>
        <v>0</v>
      </c>
      <c r="I976" s="1689">
        <f t="shared" si="200"/>
        <v>0</v>
      </c>
      <c r="J976" s="1689">
        <f t="shared" si="200"/>
        <v>0</v>
      </c>
      <c r="K976" s="1689">
        <f t="shared" si="200"/>
        <v>0</v>
      </c>
      <c r="L976" s="1689">
        <f t="shared" si="200"/>
        <v>0</v>
      </c>
      <c r="M976" s="1689">
        <f t="shared" si="200"/>
        <v>0</v>
      </c>
      <c r="N976" s="1689">
        <f t="shared" si="200"/>
        <v>0</v>
      </c>
      <c r="O976" s="1689"/>
      <c r="P976" s="1689">
        <f>$P$973*D976</f>
        <v>0</v>
      </c>
      <c r="Q976" s="2668">
        <f>$Q$973*D976</f>
        <v>0</v>
      </c>
      <c r="R976" s="2668"/>
      <c r="S976" s="985"/>
      <c r="T976" s="1858">
        <f t="shared" si="198"/>
        <v>0</v>
      </c>
    </row>
    <row r="977" spans="1:20" ht="22.2" hidden="1" customHeight="1">
      <c r="A977" s="1444">
        <f>COUNTIF($C$12:C977,"x")</f>
        <v>41</v>
      </c>
      <c r="B977" s="1447" t="s">
        <v>1785</v>
      </c>
      <c r="C977" s="1697" t="str">
        <f t="shared" si="196"/>
        <v xml:space="preserve"> </v>
      </c>
      <c r="D977" s="1411">
        <v>1</v>
      </c>
      <c r="E977" s="976"/>
      <c r="F977" s="988" t="str">
        <f>VLOOKUP($B977,DG!A:D,DG!$C$2,)</f>
        <v>Boulon 16x35+ 2 long đền vuông D18-50x50x3/Zn</v>
      </c>
      <c r="G977" s="976" t="str">
        <f>VLOOKUP($B977,DG!A:D,DG!$D$2,)</f>
        <v>bộ</v>
      </c>
      <c r="H977" s="1689">
        <f t="shared" si="200"/>
        <v>0</v>
      </c>
      <c r="I977" s="1689">
        <f t="shared" si="200"/>
        <v>0</v>
      </c>
      <c r="J977" s="1689">
        <f t="shared" si="200"/>
        <v>0</v>
      </c>
      <c r="K977" s="1689">
        <f t="shared" si="200"/>
        <v>0</v>
      </c>
      <c r="L977" s="1689">
        <f t="shared" si="200"/>
        <v>0</v>
      </c>
      <c r="M977" s="1689">
        <f t="shared" si="200"/>
        <v>0</v>
      </c>
      <c r="N977" s="1689">
        <f t="shared" si="200"/>
        <v>0</v>
      </c>
      <c r="O977" s="1689"/>
      <c r="P977" s="1689">
        <f>$P$973*D977</f>
        <v>0</v>
      </c>
      <c r="Q977" s="2668">
        <f>$Q$973*D977</f>
        <v>0</v>
      </c>
      <c r="R977" s="2668"/>
      <c r="S977" s="985"/>
      <c r="T977" s="1858">
        <f t="shared" si="198"/>
        <v>0</v>
      </c>
    </row>
    <row r="978" spans="1:20" ht="22.2" hidden="1" customHeight="1">
      <c r="A978" s="1444">
        <f>COUNTIF($C$12:C978,"x")</f>
        <v>41</v>
      </c>
      <c r="B978" s="1447" t="s">
        <v>1995</v>
      </c>
      <c r="C978" s="1697" t="str">
        <f t="shared" si="196"/>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8"/>
        <v>0</v>
      </c>
    </row>
    <row r="979" spans="1:20" ht="22.2" hidden="1" customHeight="1">
      <c r="A979" s="1444">
        <f>COUNTIF($C$12:C979,"x")</f>
        <v>41</v>
      </c>
      <c r="B979" s="1451" t="s">
        <v>1996</v>
      </c>
      <c r="C979" s="966" t="str">
        <f t="shared" si="196"/>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8"/>
        <v>0</v>
      </c>
    </row>
    <row r="980" spans="1:20" ht="22.2" hidden="1" customHeight="1">
      <c r="A980" s="1444">
        <f>COUNTIF($C$12:C980,"x")</f>
        <v>41</v>
      </c>
      <c r="B980" s="1460" t="s">
        <v>1997</v>
      </c>
      <c r="C980" s="966" t="str">
        <f t="shared" si="196"/>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8"/>
        <v>0</v>
      </c>
    </row>
    <row r="981" spans="1:20" ht="22.2" hidden="1" customHeight="1">
      <c r="A981" s="1444">
        <f>COUNTIF($C$12:C981,"x")</f>
        <v>41</v>
      </c>
      <c r="B981" s="1460" t="s">
        <v>635</v>
      </c>
      <c r="C981" s="966" t="str">
        <f t="shared" si="196"/>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8"/>
        <v>0</v>
      </c>
    </row>
    <row r="982" spans="1:20" ht="22.2" hidden="1" customHeight="1">
      <c r="A982" s="1444">
        <f>COUNTIF($C$12:C982,"x")</f>
        <v>41</v>
      </c>
      <c r="B982" s="1448" t="s">
        <v>2119</v>
      </c>
      <c r="C982" s="966" t="str">
        <f t="shared" si="196"/>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2" hidden="1" customHeight="1">
      <c r="A983" s="1444">
        <f>COUNTIF($C$12:C983,"x")</f>
        <v>41</v>
      </c>
      <c r="B983" s="1447" t="s">
        <v>4815</v>
      </c>
      <c r="C983" s="966" t="str">
        <f t="shared" si="196"/>
        <v xml:space="preserve"> </v>
      </c>
      <c r="D983" s="1410">
        <v>2</v>
      </c>
      <c r="E983" s="976"/>
      <c r="F983" s="988" t="str">
        <f>VLOOKUP($B983,DG!A:D,DG!$C$2,)</f>
        <v>Sắt góc L75 x75 x8-2.200</v>
      </c>
      <c r="G983" s="976" t="str">
        <f>VLOOKUP($B983,DG!A:D,DG!$D$2,)</f>
        <v>cái</v>
      </c>
      <c r="H983" s="1689">
        <f t="shared" ref="H983:N988" si="201">H$982*$D983</f>
        <v>0</v>
      </c>
      <c r="I983" s="1689">
        <f t="shared" si="201"/>
        <v>0</v>
      </c>
      <c r="J983" s="1689">
        <f t="shared" si="201"/>
        <v>0</v>
      </c>
      <c r="K983" s="1689">
        <f t="shared" si="201"/>
        <v>0</v>
      </c>
      <c r="L983" s="1689">
        <f t="shared" si="201"/>
        <v>0</v>
      </c>
      <c r="M983" s="1689">
        <f t="shared" si="201"/>
        <v>0</v>
      </c>
      <c r="N983" s="1689">
        <f t="shared" si="201"/>
        <v>0</v>
      </c>
      <c r="O983" s="1689"/>
      <c r="P983" s="1689">
        <f t="shared" ref="P983:P989" si="202">$P$982*D983</f>
        <v>0</v>
      </c>
      <c r="Q983" s="985"/>
      <c r="R983" s="985"/>
      <c r="S983" s="985"/>
      <c r="T983" s="1858">
        <f t="shared" si="198"/>
        <v>0</v>
      </c>
    </row>
    <row r="984" spans="1:20" ht="22.2" hidden="1" customHeight="1">
      <c r="A984" s="1444">
        <f>COUNTIF($C$12:C984,"x")</f>
        <v>41</v>
      </c>
      <c r="B984" s="1447" t="s">
        <v>6095</v>
      </c>
      <c r="C984" s="966" t="str">
        <f t="shared" si="196"/>
        <v xml:space="preserve"> </v>
      </c>
      <c r="D984" s="1410">
        <v>2</v>
      </c>
      <c r="E984" s="976"/>
      <c r="F984" s="988" t="str">
        <f>VLOOKUP($B984,DG!A:D,DG!$C$2,)</f>
        <v>Sắt góc L50 x50 x5 x1150</v>
      </c>
      <c r="G984" s="976" t="str">
        <f>VLOOKUP($B984,DG!A:D,DG!$D$2,)</f>
        <v>cái</v>
      </c>
      <c r="H984" s="1689">
        <f t="shared" si="201"/>
        <v>0</v>
      </c>
      <c r="I984" s="1689">
        <f t="shared" si="201"/>
        <v>0</v>
      </c>
      <c r="J984" s="1689">
        <f t="shared" si="201"/>
        <v>0</v>
      </c>
      <c r="K984" s="1689">
        <f t="shared" si="201"/>
        <v>0</v>
      </c>
      <c r="L984" s="1689">
        <f t="shared" si="201"/>
        <v>0</v>
      </c>
      <c r="M984" s="1689">
        <f t="shared" si="201"/>
        <v>0</v>
      </c>
      <c r="N984" s="1689">
        <f t="shared" si="201"/>
        <v>0</v>
      </c>
      <c r="O984" s="1689"/>
      <c r="P984" s="1689">
        <f t="shared" si="202"/>
        <v>0</v>
      </c>
      <c r="Q984" s="985"/>
      <c r="R984" s="985"/>
      <c r="S984" s="985"/>
      <c r="T984" s="1858">
        <f t="shared" si="198"/>
        <v>0</v>
      </c>
    </row>
    <row r="985" spans="1:20" ht="22.2" hidden="1" customHeight="1">
      <c r="A985" s="1444">
        <f>COUNTIF($C$12:C985,"x")</f>
        <v>41</v>
      </c>
      <c r="B985" s="1447" t="s">
        <v>415</v>
      </c>
      <c r="C985" s="966" t="str">
        <f t="shared" si="196"/>
        <v xml:space="preserve"> </v>
      </c>
      <c r="D985" s="1411">
        <v>3</v>
      </c>
      <c r="E985" s="976"/>
      <c r="F985" s="988" t="str">
        <f>VLOOKUP($B985,DG!A:D,DG!$C$2,)</f>
        <v>Boulon 16x300VRS+ 4 long đền vuông D18-50x50x3/Zn</v>
      </c>
      <c r="G985" s="976" t="str">
        <f>VLOOKUP($B985,DG!A:D,DG!$D$2,)</f>
        <v>bộ</v>
      </c>
      <c r="H985" s="1689">
        <f t="shared" si="201"/>
        <v>0</v>
      </c>
      <c r="I985" s="1689">
        <f t="shared" si="201"/>
        <v>0</v>
      </c>
      <c r="J985" s="1689">
        <f t="shared" si="201"/>
        <v>0</v>
      </c>
      <c r="K985" s="1689">
        <f t="shared" si="201"/>
        <v>0</v>
      </c>
      <c r="L985" s="1689">
        <f t="shared" si="201"/>
        <v>0</v>
      </c>
      <c r="M985" s="1689">
        <f t="shared" si="201"/>
        <v>0</v>
      </c>
      <c r="N985" s="1689">
        <f t="shared" si="201"/>
        <v>0</v>
      </c>
      <c r="O985" s="1689"/>
      <c r="P985" s="1689">
        <f t="shared" si="202"/>
        <v>0</v>
      </c>
      <c r="Q985" s="985"/>
      <c r="R985" s="985"/>
      <c r="S985" s="985"/>
      <c r="T985" s="1858">
        <f t="shared" si="198"/>
        <v>0</v>
      </c>
    </row>
    <row r="986" spans="1:20" ht="22.2" hidden="1" customHeight="1">
      <c r="A986" s="1444">
        <f>COUNTIF($C$12:C986,"x")</f>
        <v>41</v>
      </c>
      <c r="B986" s="1447" t="s">
        <v>1610</v>
      </c>
      <c r="C986" s="966" t="str">
        <f t="shared" si="196"/>
        <v xml:space="preserve"> </v>
      </c>
      <c r="D986" s="1411">
        <v>2</v>
      </c>
      <c r="E986" s="976"/>
      <c r="F986" s="988" t="str">
        <f>VLOOKUP($B986,DG!A:D,DG!$C$2,)</f>
        <v>Boulon 16x300+ 2 long đền vuông D18-50x50x3/Zn</v>
      </c>
      <c r="G986" s="976" t="str">
        <f>VLOOKUP($B986,DG!A:D,DG!$D$2,)</f>
        <v>bộ</v>
      </c>
      <c r="H986" s="1689">
        <f t="shared" si="201"/>
        <v>0</v>
      </c>
      <c r="I986" s="1689">
        <f t="shared" si="201"/>
        <v>0</v>
      </c>
      <c r="J986" s="1689">
        <f t="shared" si="201"/>
        <v>0</v>
      </c>
      <c r="K986" s="1689">
        <f t="shared" si="201"/>
        <v>0</v>
      </c>
      <c r="L986" s="1689">
        <f t="shared" si="201"/>
        <v>0</v>
      </c>
      <c r="M986" s="1689">
        <f t="shared" si="201"/>
        <v>0</v>
      </c>
      <c r="N986" s="1689">
        <f t="shared" si="201"/>
        <v>0</v>
      </c>
      <c r="O986" s="1689"/>
      <c r="P986" s="1689">
        <f t="shared" si="202"/>
        <v>0</v>
      </c>
      <c r="Q986" s="985"/>
      <c r="R986" s="985"/>
      <c r="S986" s="985"/>
      <c r="T986" s="1858">
        <f t="shared" si="198"/>
        <v>0</v>
      </c>
    </row>
    <row r="987" spans="1:20" ht="22.2" hidden="1" customHeight="1">
      <c r="A987" s="1444">
        <f>COUNTIF($C$12:C987,"x")</f>
        <v>41</v>
      </c>
      <c r="B987" s="1447" t="s">
        <v>1609</v>
      </c>
      <c r="C987" s="966" t="str">
        <f t="shared" si="196"/>
        <v xml:space="preserve"> </v>
      </c>
      <c r="D987" s="1411"/>
      <c r="E987" s="976"/>
      <c r="F987" s="988" t="str">
        <f>VLOOKUP($B987,DG!A:D,DG!$C$2,)</f>
        <v>Boulon 16x250+ 2 long đền vuông D18-50x50x3/Zn</v>
      </c>
      <c r="G987" s="976" t="str">
        <f>VLOOKUP($B987,DG!A:D,DG!$D$2,)</f>
        <v>bộ</v>
      </c>
      <c r="H987" s="1689">
        <f t="shared" si="201"/>
        <v>0</v>
      </c>
      <c r="I987" s="1689">
        <f t="shared" si="201"/>
        <v>0</v>
      </c>
      <c r="J987" s="1689">
        <f t="shared" si="201"/>
        <v>0</v>
      </c>
      <c r="K987" s="1689">
        <f t="shared" si="201"/>
        <v>0</v>
      </c>
      <c r="L987" s="1689">
        <f t="shared" si="201"/>
        <v>0</v>
      </c>
      <c r="M987" s="1689">
        <f t="shared" si="201"/>
        <v>0</v>
      </c>
      <c r="N987" s="1689">
        <f t="shared" si="201"/>
        <v>0</v>
      </c>
      <c r="O987" s="1689"/>
      <c r="P987" s="1689">
        <f t="shared" si="202"/>
        <v>0</v>
      </c>
      <c r="Q987" s="985"/>
      <c r="R987" s="985"/>
      <c r="S987" s="985"/>
      <c r="T987" s="1858">
        <f t="shared" si="198"/>
        <v>0</v>
      </c>
    </row>
    <row r="988" spans="1:20" ht="22.2" hidden="1" customHeight="1">
      <c r="A988" s="1444">
        <f>COUNTIF($C$12:C988,"x")</f>
        <v>41</v>
      </c>
      <c r="B988" s="1447" t="s">
        <v>1786</v>
      </c>
      <c r="C988" s="966" t="str">
        <f t="shared" si="196"/>
        <v xml:space="preserve"> </v>
      </c>
      <c r="D988" s="1411">
        <v>2</v>
      </c>
      <c r="E988" s="976"/>
      <c r="F988" s="988" t="str">
        <f>VLOOKUP($B988,DG!A:D,DG!$C$2,)</f>
        <v>Boulon 16x50+ 2 long đền vuông D18-50x50x3/Zn</v>
      </c>
      <c r="G988" s="976" t="str">
        <f>VLOOKUP($B988,DG!A:D,DG!$D$2,)</f>
        <v>bộ</v>
      </c>
      <c r="H988" s="1689">
        <f t="shared" si="201"/>
        <v>0</v>
      </c>
      <c r="I988" s="1689">
        <f t="shared" si="201"/>
        <v>0</v>
      </c>
      <c r="J988" s="1689">
        <f t="shared" si="201"/>
        <v>0</v>
      </c>
      <c r="K988" s="1689">
        <f t="shared" si="201"/>
        <v>0</v>
      </c>
      <c r="L988" s="1689">
        <f t="shared" si="201"/>
        <v>0</v>
      </c>
      <c r="M988" s="1689">
        <f t="shared" si="201"/>
        <v>0</v>
      </c>
      <c r="N988" s="1689">
        <f t="shared" si="201"/>
        <v>0</v>
      </c>
      <c r="O988" s="1689"/>
      <c r="P988" s="1689">
        <f t="shared" si="202"/>
        <v>0</v>
      </c>
      <c r="Q988" s="985"/>
      <c r="R988" s="985"/>
      <c r="S988" s="985"/>
      <c r="T988" s="1858">
        <f t="shared" si="198"/>
        <v>0</v>
      </c>
    </row>
    <row r="989" spans="1:20" ht="22.2" hidden="1" customHeight="1">
      <c r="A989" s="1444">
        <f>COUNTIF($C$12:C989,"x")</f>
        <v>41</v>
      </c>
      <c r="B989" s="1447" t="s">
        <v>1998</v>
      </c>
      <c r="C989" s="966" t="str">
        <f t="shared" si="196"/>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202"/>
        <v>0</v>
      </c>
      <c r="Q989" s="990"/>
      <c r="R989" s="990"/>
      <c r="S989" s="990"/>
      <c r="T989" s="1858">
        <f t="shared" si="198"/>
        <v>0</v>
      </c>
    </row>
    <row r="990" spans="1:20" ht="22.2" hidden="1" customHeight="1">
      <c r="A990" s="1444">
        <f>COUNTIF($C$12:C990,"x")</f>
        <v>41</v>
      </c>
      <c r="B990" s="1451" t="s">
        <v>1996</v>
      </c>
      <c r="C990" s="966" t="str">
        <f t="shared" si="196"/>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8"/>
        <v>0</v>
      </c>
    </row>
    <row r="991" spans="1:20" ht="22.2" hidden="1" customHeight="1">
      <c r="A991" s="1444">
        <f>COUNTIF($C$12:C991,"x")</f>
        <v>41</v>
      </c>
      <c r="B991" s="1460" t="s">
        <v>1997</v>
      </c>
      <c r="C991" s="966" t="str">
        <f t="shared" si="196"/>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8"/>
        <v>0</v>
      </c>
    </row>
    <row r="992" spans="1:20" ht="22.2" hidden="1" customHeight="1">
      <c r="A992" s="1444">
        <f>COUNTIF($C$12:C992,"x")</f>
        <v>41</v>
      </c>
      <c r="B992" s="1460" t="s">
        <v>635</v>
      </c>
      <c r="C992" s="966" t="str">
        <f t="shared" si="196"/>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8"/>
        <v>0</v>
      </c>
    </row>
    <row r="993" spans="1:20" ht="22.2" hidden="1" customHeight="1">
      <c r="A993" s="1444">
        <f>COUNTIF($C$12:C993,"x")</f>
        <v>41</v>
      </c>
      <c r="B993" s="1448" t="s">
        <v>2298</v>
      </c>
      <c r="C993" s="966" t="str">
        <f t="shared" si="196"/>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2" hidden="1" customHeight="1">
      <c r="A994" s="1444">
        <f>COUNTIF($C$12:C994,"x")</f>
        <v>41</v>
      </c>
      <c r="B994" s="1451" t="s">
        <v>109</v>
      </c>
      <c r="C994" s="966" t="str">
        <f t="shared" si="196"/>
        <v xml:space="preserve"> </v>
      </c>
      <c r="D994" s="1410">
        <f>9.02*(2.4+3*0.07)</f>
        <v>23.542199999999998</v>
      </c>
      <c r="E994" s="976"/>
      <c r="F994" s="988" t="str">
        <f>VLOOKUP($B994,DG!A:D,DG!$C$2,)</f>
        <v>Sắt góc L75 x75 x8</v>
      </c>
      <c r="G994" s="976" t="str">
        <f>VLOOKUP($B994,DG!A:D,DG!$D$2,)</f>
        <v>kg</v>
      </c>
      <c r="H994" s="1689">
        <f t="shared" ref="H994:L997" si="203">H$993*$D994</f>
        <v>0</v>
      </c>
      <c r="I994" s="1689">
        <f t="shared" si="203"/>
        <v>0</v>
      </c>
      <c r="J994" s="1689">
        <f t="shared" si="203"/>
        <v>0</v>
      </c>
      <c r="K994" s="1689">
        <f t="shared" si="203"/>
        <v>0</v>
      </c>
      <c r="L994" s="1689">
        <f t="shared" si="203"/>
        <v>0</v>
      </c>
      <c r="M994" s="1689"/>
      <c r="N994" s="1689"/>
      <c r="O994" s="1689"/>
      <c r="P994" s="1689"/>
      <c r="Q994" s="985"/>
      <c r="R994" s="985"/>
      <c r="S994" s="985"/>
      <c r="T994" s="1858">
        <f t="shared" si="198"/>
        <v>0</v>
      </c>
    </row>
    <row r="995" spans="1:20" ht="22.2" hidden="1" customHeight="1">
      <c r="A995" s="1444">
        <f>COUNTIF($C$12:C995,"x")</f>
        <v>41</v>
      </c>
      <c r="B995" s="1451" t="s">
        <v>1610</v>
      </c>
      <c r="C995" s="966" t="str">
        <f t="shared" si="196"/>
        <v xml:space="preserve"> </v>
      </c>
      <c r="D995" s="1411">
        <v>2</v>
      </c>
      <c r="E995" s="976"/>
      <c r="F995" s="988" t="str">
        <f>VLOOKUP($B995,DG!A:D,DG!$C$2,)</f>
        <v>Boulon 16x300+ 2 long đền vuông D18-50x50x3/Zn</v>
      </c>
      <c r="G995" s="976" t="str">
        <f>VLOOKUP($B995,DG!A:D,DG!$D$2,)</f>
        <v>bộ</v>
      </c>
      <c r="H995" s="1689">
        <f t="shared" si="203"/>
        <v>0</v>
      </c>
      <c r="I995" s="1689">
        <f t="shared" si="203"/>
        <v>0</v>
      </c>
      <c r="J995" s="1689">
        <f t="shared" si="203"/>
        <v>0</v>
      </c>
      <c r="K995" s="1689">
        <f t="shared" si="203"/>
        <v>0</v>
      </c>
      <c r="L995" s="1689">
        <f t="shared" si="203"/>
        <v>0</v>
      </c>
      <c r="M995" s="1689"/>
      <c r="N995" s="1689"/>
      <c r="O995" s="1689"/>
      <c r="P995" s="1689"/>
      <c r="Q995" s="985"/>
      <c r="R995" s="985"/>
      <c r="S995" s="985"/>
      <c r="T995" s="1858">
        <f t="shared" si="198"/>
        <v>0</v>
      </c>
    </row>
    <row r="996" spans="1:20" ht="22.2" hidden="1" customHeight="1">
      <c r="A996" s="1444">
        <f>COUNTIF($C$12:C996,"x")</f>
        <v>41</v>
      </c>
      <c r="B996" s="1451" t="s">
        <v>2242</v>
      </c>
      <c r="C996" s="966" t="str">
        <f t="shared" si="196"/>
        <v xml:space="preserve"> </v>
      </c>
      <c r="D996" s="1411">
        <v>1</v>
      </c>
      <c r="E996" s="976"/>
      <c r="F996" s="981" t="str">
        <f>VLOOKUP($B996,DG!A:D,DG!$C$2,)</f>
        <v>Lắp xà cột Pi loại ≤140kg/xà</v>
      </c>
      <c r="G996" s="976" t="str">
        <f>VLOOKUP($B996,DG!A:D,DG!$D$2,)</f>
        <v>bộ</v>
      </c>
      <c r="H996" s="1689">
        <f t="shared" si="203"/>
        <v>0</v>
      </c>
      <c r="I996" s="1689">
        <f t="shared" si="203"/>
        <v>0</v>
      </c>
      <c r="J996" s="1689">
        <f t="shared" si="203"/>
        <v>0</v>
      </c>
      <c r="K996" s="1689">
        <f t="shared" si="203"/>
        <v>0</v>
      </c>
      <c r="L996" s="1689">
        <f t="shared" si="203"/>
        <v>0</v>
      </c>
      <c r="M996" s="1689"/>
      <c r="N996" s="1689"/>
      <c r="O996" s="1689"/>
      <c r="P996" s="1689"/>
      <c r="Q996" s="985"/>
      <c r="R996" s="985"/>
      <c r="S996" s="985"/>
      <c r="T996" s="1858">
        <f t="shared" si="198"/>
        <v>0</v>
      </c>
    </row>
    <row r="997" spans="1:20" ht="22.2" hidden="1" customHeight="1">
      <c r="A997" s="1444">
        <f>COUNTIF($C$12:C997,"x")</f>
        <v>41</v>
      </c>
      <c r="B997" s="1451" t="s">
        <v>1996</v>
      </c>
      <c r="C997" s="966" t="str">
        <f t="shared" si="196"/>
        <v xml:space="preserve"> </v>
      </c>
      <c r="D997" s="1409">
        <f>D998</f>
        <v>2.7E-2</v>
      </c>
      <c r="E997" s="976"/>
      <c r="F997" s="981" t="str">
        <f>VLOOKUP($B997,DG!A:D,DG!$C$2,)</f>
        <v>Bốc dỡ xà, thép thanh</v>
      </c>
      <c r="G997" s="976" t="str">
        <f>VLOOKUP($B997,DG!A:D,DG!$D$2,)</f>
        <v>tấn</v>
      </c>
      <c r="H997" s="1689">
        <f t="shared" si="203"/>
        <v>0</v>
      </c>
      <c r="I997" s="1689">
        <f t="shared" si="203"/>
        <v>0</v>
      </c>
      <c r="J997" s="1689">
        <f t="shared" si="203"/>
        <v>0</v>
      </c>
      <c r="K997" s="1689">
        <f t="shared" si="203"/>
        <v>0</v>
      </c>
      <c r="L997" s="1689">
        <f t="shared" si="203"/>
        <v>0</v>
      </c>
      <c r="M997" s="1689"/>
      <c r="N997" s="1689"/>
      <c r="O997" s="1689"/>
      <c r="P997" s="1689"/>
      <c r="Q997" s="985"/>
      <c r="R997" s="985"/>
      <c r="S997" s="985"/>
      <c r="T997" s="1858">
        <f t="shared" si="198"/>
        <v>0</v>
      </c>
    </row>
    <row r="998" spans="1:20" ht="22.2" hidden="1" customHeight="1">
      <c r="A998" s="1444">
        <f>COUNTIF($C$12:C998,"x")</f>
        <v>41</v>
      </c>
      <c r="B998" s="1460" t="s">
        <v>1997</v>
      </c>
      <c r="C998" s="966" t="str">
        <f t="shared" si="196"/>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8"/>
        <v>0</v>
      </c>
    </row>
    <row r="999" spans="1:20" ht="22.2" hidden="1" customHeight="1">
      <c r="A999" s="1444">
        <f>COUNTIF($C$12:C999,"x")</f>
        <v>41</v>
      </c>
      <c r="B999" s="1460" t="s">
        <v>635</v>
      </c>
      <c r="C999" s="966" t="str">
        <f t="shared" si="196"/>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8"/>
        <v>0</v>
      </c>
    </row>
    <row r="1000" spans="1:20" ht="22.2" hidden="1" customHeight="1">
      <c r="A1000" s="1444">
        <f>COUNTIF($C$12:C1000,"x")</f>
        <v>41</v>
      </c>
      <c r="B1000" s="1448" t="s">
        <v>213</v>
      </c>
      <c r="C1000" s="966" t="str">
        <f t="shared" si="196"/>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2" hidden="1" customHeight="1">
      <c r="A1001" s="1444">
        <f>COUNTIF($C$12:C1001,"x")</f>
        <v>41</v>
      </c>
      <c r="B1001" s="1451" t="s">
        <v>109</v>
      </c>
      <c r="C1001" s="966" t="str">
        <f t="shared" si="196"/>
        <v xml:space="preserve"> </v>
      </c>
      <c r="D1001" s="1410">
        <f>9.02*(2.4+3*0.1)*2</f>
        <v>48.707999999999998</v>
      </c>
      <c r="E1001" s="976"/>
      <c r="F1001" s="988" t="str">
        <f>VLOOKUP($B1001,DG!A:D,DG!$C$2,)</f>
        <v>Sắt góc L75 x75 x8</v>
      </c>
      <c r="G1001" s="976" t="str">
        <f>VLOOKUP($B1001,DG!A:D,DG!$D$2,)</f>
        <v>kg</v>
      </c>
      <c r="H1001" s="1689">
        <f t="shared" ref="H1001:L1005" si="204">H$1000*$D1001</f>
        <v>0</v>
      </c>
      <c r="I1001" s="1689">
        <f t="shared" si="204"/>
        <v>0</v>
      </c>
      <c r="J1001" s="1689">
        <f t="shared" si="204"/>
        <v>0</v>
      </c>
      <c r="K1001" s="1689">
        <f t="shared" si="204"/>
        <v>0</v>
      </c>
      <c r="L1001" s="1689">
        <f t="shared" si="204"/>
        <v>0</v>
      </c>
      <c r="M1001" s="1689"/>
      <c r="N1001" s="1689"/>
      <c r="O1001" s="1689"/>
      <c r="P1001" s="1689"/>
      <c r="Q1001" s="985"/>
      <c r="R1001" s="985"/>
      <c r="S1001" s="985"/>
      <c r="T1001" s="1858">
        <f t="shared" si="198"/>
        <v>0</v>
      </c>
    </row>
    <row r="1002" spans="1:20" ht="22.2" hidden="1" customHeight="1">
      <c r="A1002" s="1444">
        <f>COUNTIF($C$12:C1002,"x")</f>
        <v>41</v>
      </c>
      <c r="B1002" s="1451" t="s">
        <v>1610</v>
      </c>
      <c r="C1002" s="966" t="str">
        <f t="shared" si="196"/>
        <v xml:space="preserve"> </v>
      </c>
      <c r="D1002" s="1411">
        <v>2</v>
      </c>
      <c r="E1002" s="976"/>
      <c r="F1002" s="988" t="str">
        <f>VLOOKUP($B1002,DG!A:D,DG!$C$2,)</f>
        <v>Boulon 16x300+ 2 long đền vuông D18-50x50x3/Zn</v>
      </c>
      <c r="G1002" s="976" t="str">
        <f>VLOOKUP($B1002,DG!A:D,DG!$D$2,)</f>
        <v>bộ</v>
      </c>
      <c r="H1002" s="1689">
        <f t="shared" si="204"/>
        <v>0</v>
      </c>
      <c r="I1002" s="1689">
        <f t="shared" si="204"/>
        <v>0</v>
      </c>
      <c r="J1002" s="1689">
        <f t="shared" si="204"/>
        <v>0</v>
      </c>
      <c r="K1002" s="1689">
        <f t="shared" si="204"/>
        <v>0</v>
      </c>
      <c r="L1002" s="1689">
        <f t="shared" si="204"/>
        <v>0</v>
      </c>
      <c r="M1002" s="1689"/>
      <c r="N1002" s="1689"/>
      <c r="O1002" s="1689"/>
      <c r="P1002" s="1689"/>
      <c r="Q1002" s="985"/>
      <c r="R1002" s="985"/>
      <c r="S1002" s="985"/>
      <c r="T1002" s="1858">
        <f t="shared" si="198"/>
        <v>0</v>
      </c>
    </row>
    <row r="1003" spans="1:20" ht="22.2" hidden="1" customHeight="1">
      <c r="A1003" s="1444">
        <f>COUNTIF($C$12:C1003,"x")</f>
        <v>41</v>
      </c>
      <c r="B1003" s="1451" t="s">
        <v>1784</v>
      </c>
      <c r="C1003" s="966" t="str">
        <f t="shared" si="196"/>
        <v xml:space="preserve"> </v>
      </c>
      <c r="D1003" s="1411">
        <v>4</v>
      </c>
      <c r="E1003" s="976"/>
      <c r="F1003" s="988" t="str">
        <f>VLOOKUP($B1003,DG!A:D,DG!$C$2,)</f>
        <v>Boulon 16x300VRS+ 4 long đền vuông D18-50x50x3/Zn</v>
      </c>
      <c r="G1003" s="976" t="str">
        <f>VLOOKUP($B1003,DG!A:D,DG!$D$2,)</f>
        <v>bộ</v>
      </c>
      <c r="H1003" s="1689">
        <f t="shared" si="204"/>
        <v>0</v>
      </c>
      <c r="I1003" s="1689">
        <f t="shared" si="204"/>
        <v>0</v>
      </c>
      <c r="J1003" s="1689">
        <f t="shared" si="204"/>
        <v>0</v>
      </c>
      <c r="K1003" s="1689">
        <f t="shared" si="204"/>
        <v>0</v>
      </c>
      <c r="L1003" s="1689">
        <f t="shared" si="204"/>
        <v>0</v>
      </c>
      <c r="M1003" s="1689"/>
      <c r="N1003" s="1689"/>
      <c r="O1003" s="1689"/>
      <c r="P1003" s="1689"/>
      <c r="Q1003" s="985"/>
      <c r="R1003" s="985"/>
      <c r="S1003" s="985"/>
      <c r="T1003" s="1858">
        <f t="shared" si="198"/>
        <v>0</v>
      </c>
    </row>
    <row r="1004" spans="1:20" ht="22.2" hidden="1" customHeight="1">
      <c r="A1004" s="1444">
        <f>COUNTIF($C$12:C1004,"x")</f>
        <v>41</v>
      </c>
      <c r="B1004" s="1451" t="s">
        <v>2242</v>
      </c>
      <c r="C1004" s="966" t="str">
        <f t="shared" si="196"/>
        <v xml:space="preserve"> </v>
      </c>
      <c r="D1004" s="1411">
        <v>1</v>
      </c>
      <c r="E1004" s="976"/>
      <c r="F1004" s="981" t="str">
        <f>VLOOKUP($B1004,DG!A:D,DG!$C$2,)</f>
        <v>Lắp xà cột Pi loại ≤140kg/xà</v>
      </c>
      <c r="G1004" s="976" t="str">
        <f>VLOOKUP($B1004,DG!A:D,DG!$D$2,)</f>
        <v>bộ</v>
      </c>
      <c r="H1004" s="1689">
        <f t="shared" si="204"/>
        <v>0</v>
      </c>
      <c r="I1004" s="1689">
        <f t="shared" si="204"/>
        <v>0</v>
      </c>
      <c r="J1004" s="1689">
        <f t="shared" si="204"/>
        <v>0</v>
      </c>
      <c r="K1004" s="1689">
        <f t="shared" si="204"/>
        <v>0</v>
      </c>
      <c r="L1004" s="1689">
        <f t="shared" si="204"/>
        <v>0</v>
      </c>
      <c r="M1004" s="1689"/>
      <c r="N1004" s="1689"/>
      <c r="O1004" s="1689"/>
      <c r="P1004" s="1689"/>
      <c r="Q1004" s="985"/>
      <c r="R1004" s="985"/>
      <c r="S1004" s="985"/>
      <c r="T1004" s="1858">
        <f t="shared" si="198"/>
        <v>0</v>
      </c>
    </row>
    <row r="1005" spans="1:20" ht="22.2" hidden="1" customHeight="1">
      <c r="A1005" s="1444">
        <f>COUNTIF($C$12:C1005,"x")</f>
        <v>41</v>
      </c>
      <c r="B1005" s="1451" t="s">
        <v>1996</v>
      </c>
      <c r="C1005" s="966" t="str">
        <f t="shared" si="196"/>
        <v xml:space="preserve"> </v>
      </c>
      <c r="D1005" s="1409">
        <f>D1006*0</f>
        <v>0</v>
      </c>
      <c r="E1005" s="976"/>
      <c r="F1005" s="981" t="str">
        <f>VLOOKUP($B1005,DG!A:D,DG!$C$2,)</f>
        <v>Bốc dỡ xà, thép thanh</v>
      </c>
      <c r="G1005" s="976" t="str">
        <f>VLOOKUP($B1005,DG!A:D,DG!$D$2,)</f>
        <v>tấn</v>
      </c>
      <c r="H1005" s="1689">
        <f t="shared" si="204"/>
        <v>0</v>
      </c>
      <c r="I1005" s="1689">
        <f t="shared" si="204"/>
        <v>0</v>
      </c>
      <c r="J1005" s="1689">
        <f t="shared" si="204"/>
        <v>0</v>
      </c>
      <c r="K1005" s="1689">
        <f t="shared" si="204"/>
        <v>0</v>
      </c>
      <c r="L1005" s="1689">
        <f t="shared" si="204"/>
        <v>0</v>
      </c>
      <c r="M1005" s="1689"/>
      <c r="N1005" s="1689"/>
      <c r="O1005" s="1689"/>
      <c r="P1005" s="1689"/>
      <c r="Q1005" s="985"/>
      <c r="R1005" s="985"/>
      <c r="S1005" s="985"/>
      <c r="T1005" s="1858">
        <f t="shared" si="198"/>
        <v>0</v>
      </c>
    </row>
    <row r="1006" spans="1:20" ht="22.2" hidden="1" customHeight="1">
      <c r="A1006" s="1444">
        <f>COUNTIF($C$12:C1006,"x")</f>
        <v>41</v>
      </c>
      <c r="B1006" s="1460" t="s">
        <v>1997</v>
      </c>
      <c r="C1006" s="966" t="str">
        <f t="shared" si="196"/>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8"/>
        <v>0</v>
      </c>
    </row>
    <row r="1007" spans="1:20" ht="22.2" hidden="1" customHeight="1">
      <c r="A1007" s="1444">
        <f>COUNTIF($C$12:C1007,"x")</f>
        <v>41</v>
      </c>
      <c r="B1007" s="1460" t="s">
        <v>635</v>
      </c>
      <c r="C1007" s="966" t="str">
        <f t="shared" si="196"/>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8"/>
        <v>0</v>
      </c>
    </row>
    <row r="1008" spans="1:20" ht="22.2" hidden="1" customHeight="1">
      <c r="A1008" s="1444">
        <f>COUNTIF($C$12:C1008,"x")</f>
        <v>41</v>
      </c>
      <c r="B1008" s="1448" t="s">
        <v>2311</v>
      </c>
      <c r="C1008" s="966" t="str">
        <f t="shared" si="196"/>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2" hidden="1" customHeight="1">
      <c r="A1009" s="1444">
        <f>COUNTIF($C$12:C1009,"x")</f>
        <v>41</v>
      </c>
      <c r="B1009" s="1451" t="s">
        <v>109</v>
      </c>
      <c r="C1009" s="966" t="str">
        <f t="shared" si="196"/>
        <v xml:space="preserve"> </v>
      </c>
      <c r="D1009" s="1410">
        <f>9.02*(2.6+3*0.07)</f>
        <v>25.3462</v>
      </c>
      <c r="E1009" s="976"/>
      <c r="F1009" s="988" t="s">
        <v>2437</v>
      </c>
      <c r="G1009" s="976" t="s">
        <v>2248</v>
      </c>
      <c r="H1009" s="1689">
        <f t="shared" ref="H1009:L1012" si="205">H$1007*$D1009</f>
        <v>0</v>
      </c>
      <c r="I1009" s="1689">
        <f t="shared" si="205"/>
        <v>0</v>
      </c>
      <c r="J1009" s="1689">
        <f t="shared" si="205"/>
        <v>0</v>
      </c>
      <c r="K1009" s="1689">
        <f t="shared" si="205"/>
        <v>0</v>
      </c>
      <c r="L1009" s="1689">
        <f t="shared" si="205"/>
        <v>0</v>
      </c>
      <c r="M1009" s="1689"/>
      <c r="N1009" s="1689"/>
      <c r="O1009" s="1689"/>
      <c r="P1009" s="1689">
        <f>$P$1008*D1009</f>
        <v>0</v>
      </c>
      <c r="Q1009" s="985"/>
      <c r="R1009" s="985">
        <f>$R$1008*D1009</f>
        <v>0</v>
      </c>
      <c r="S1009" s="985"/>
      <c r="T1009" s="1858">
        <f t="shared" si="198"/>
        <v>0</v>
      </c>
    </row>
    <row r="1010" spans="1:20" ht="22.2" hidden="1" customHeight="1">
      <c r="A1010" s="1444">
        <f>COUNTIF($C$12:C1010,"x")</f>
        <v>41</v>
      </c>
      <c r="B1010" s="1451" t="s">
        <v>1609</v>
      </c>
      <c r="C1010" s="966" t="str">
        <f t="shared" si="196"/>
        <v xml:space="preserve"> </v>
      </c>
      <c r="D1010" s="1411">
        <v>2</v>
      </c>
      <c r="E1010" s="976"/>
      <c r="F1010" s="988" t="s">
        <v>2438</v>
      </c>
      <c r="G1010" s="976" t="s">
        <v>2439</v>
      </c>
      <c r="H1010" s="1689">
        <f t="shared" si="205"/>
        <v>0</v>
      </c>
      <c r="I1010" s="1689">
        <f t="shared" si="205"/>
        <v>0</v>
      </c>
      <c r="J1010" s="1689">
        <f t="shared" si="205"/>
        <v>0</v>
      </c>
      <c r="K1010" s="1689">
        <f t="shared" si="205"/>
        <v>0</v>
      </c>
      <c r="L1010" s="1689">
        <f t="shared" si="205"/>
        <v>0</v>
      </c>
      <c r="M1010" s="1689"/>
      <c r="N1010" s="1689"/>
      <c r="O1010" s="1689"/>
      <c r="P1010" s="1689">
        <f>$P$1008*D1010</f>
        <v>0</v>
      </c>
      <c r="Q1010" s="985"/>
      <c r="R1010" s="985">
        <f>$R$1008*D1010</f>
        <v>0</v>
      </c>
      <c r="S1010" s="985"/>
      <c r="T1010" s="1858">
        <f t="shared" si="198"/>
        <v>0</v>
      </c>
    </row>
    <row r="1011" spans="1:20" ht="22.2" hidden="1" customHeight="1">
      <c r="A1011" s="1444">
        <f>COUNTIF($C$12:C1011,"x")</f>
        <v>41</v>
      </c>
      <c r="B1011" s="1451" t="s">
        <v>2242</v>
      </c>
      <c r="C1011" s="966" t="str">
        <f t="shared" si="196"/>
        <v xml:space="preserve"> </v>
      </c>
      <c r="D1011" s="1410">
        <v>1</v>
      </c>
      <c r="E1011" s="976"/>
      <c r="F1011" s="981" t="s">
        <v>2440</v>
      </c>
      <c r="G1011" s="976" t="s">
        <v>2439</v>
      </c>
      <c r="H1011" s="1689">
        <f t="shared" si="205"/>
        <v>0</v>
      </c>
      <c r="I1011" s="1689">
        <f t="shared" si="205"/>
        <v>0</v>
      </c>
      <c r="J1011" s="1689">
        <f t="shared" si="205"/>
        <v>0</v>
      </c>
      <c r="K1011" s="1689">
        <f t="shared" si="205"/>
        <v>0</v>
      </c>
      <c r="L1011" s="1689">
        <f t="shared" si="205"/>
        <v>0</v>
      </c>
      <c r="M1011" s="1689"/>
      <c r="N1011" s="1689"/>
      <c r="O1011" s="1689"/>
      <c r="P1011" s="1689">
        <f>$P$1008*D1011</f>
        <v>0</v>
      </c>
      <c r="Q1011" s="985"/>
      <c r="R1011" s="985">
        <f>$R$1008*D1011</f>
        <v>0</v>
      </c>
      <c r="S1011" s="985"/>
      <c r="T1011" s="1858">
        <f t="shared" si="198"/>
        <v>0</v>
      </c>
    </row>
    <row r="1012" spans="1:20" ht="22.2" hidden="1" customHeight="1">
      <c r="A1012" s="1444">
        <f>COUNTIF($C$12:C1012,"x")</f>
        <v>41</v>
      </c>
      <c r="B1012" s="1451" t="s">
        <v>1996</v>
      </c>
      <c r="C1012" s="966" t="str">
        <f t="shared" si="196"/>
        <v xml:space="preserve"> </v>
      </c>
      <c r="D1012" s="1409">
        <f>D1013</f>
        <v>0</v>
      </c>
      <c r="E1012" s="976"/>
      <c r="F1012" s="981" t="s">
        <v>2441</v>
      </c>
      <c r="G1012" s="976" t="s">
        <v>2442</v>
      </c>
      <c r="H1012" s="1689">
        <f t="shared" si="205"/>
        <v>0</v>
      </c>
      <c r="I1012" s="1689">
        <f t="shared" si="205"/>
        <v>0</v>
      </c>
      <c r="J1012" s="1689">
        <f t="shared" si="205"/>
        <v>0</v>
      </c>
      <c r="K1012" s="1689">
        <f t="shared" si="205"/>
        <v>0</v>
      </c>
      <c r="L1012" s="1689">
        <f t="shared" si="205"/>
        <v>0</v>
      </c>
      <c r="M1012" s="1689"/>
      <c r="N1012" s="1689"/>
      <c r="O1012" s="1689"/>
      <c r="P1012" s="1689">
        <f>$P$1008*D1012</f>
        <v>0</v>
      </c>
      <c r="Q1012" s="985"/>
      <c r="R1012" s="985">
        <f>$R$1008*D1012</f>
        <v>0</v>
      </c>
      <c r="S1012" s="985"/>
      <c r="T1012" s="1858">
        <f t="shared" si="198"/>
        <v>0</v>
      </c>
    </row>
    <row r="1013" spans="1:20" ht="22.2" hidden="1" customHeight="1">
      <c r="A1013" s="1444">
        <f>COUNTIF($C$12:C1013,"x")</f>
        <v>41</v>
      </c>
      <c r="B1013" s="1460" t="s">
        <v>1997</v>
      </c>
      <c r="C1013" s="966" t="str">
        <f t="shared" si="196"/>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8"/>
        <v>0</v>
      </c>
    </row>
    <row r="1014" spans="1:20" ht="22.2" hidden="1" customHeight="1">
      <c r="A1014" s="1444">
        <f>COUNTIF($C$12:C1014,"x")</f>
        <v>41</v>
      </c>
      <c r="B1014" s="1460" t="s">
        <v>635</v>
      </c>
      <c r="C1014" s="966" t="str">
        <f t="shared" ref="C1014:C1077" si="206">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8"/>
        <v>0</v>
      </c>
    </row>
    <row r="1015" spans="1:20" ht="22.2" hidden="1" customHeight="1">
      <c r="A1015" s="1444">
        <f>COUNTIF($C$12:C1015,"x")</f>
        <v>41</v>
      </c>
      <c r="B1015" s="1448" t="s">
        <v>1501</v>
      </c>
      <c r="C1015" s="966" t="str">
        <f t="shared" si="206"/>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2" hidden="1" customHeight="1">
      <c r="A1016" s="1444">
        <f>COUNTIF($C$12:C1016,"x")</f>
        <v>41</v>
      </c>
      <c r="B1016" s="1451" t="s">
        <v>109</v>
      </c>
      <c r="C1016" s="966" t="str">
        <f t="shared" si="206"/>
        <v xml:space="preserve"> </v>
      </c>
      <c r="D1016" s="1410">
        <f>9.02*(2.6+3*0.07)*2</f>
        <v>50.692399999999999</v>
      </c>
      <c r="E1016" s="976"/>
      <c r="F1016" s="988" t="s">
        <v>2437</v>
      </c>
      <c r="G1016" s="976" t="s">
        <v>2248</v>
      </c>
      <c r="H1016" s="1689">
        <f>$H$1015*$D1016</f>
        <v>0</v>
      </c>
      <c r="I1016" s="1689">
        <f t="shared" ref="I1016:L1020" si="207">I$1007*$D1016</f>
        <v>0</v>
      </c>
      <c r="J1016" s="1689">
        <f t="shared" si="207"/>
        <v>0</v>
      </c>
      <c r="K1016" s="1689">
        <f t="shared" si="207"/>
        <v>0</v>
      </c>
      <c r="L1016" s="1689">
        <f t="shared" si="207"/>
        <v>0</v>
      </c>
      <c r="M1016" s="1689"/>
      <c r="N1016" s="1689"/>
      <c r="O1016" s="1689"/>
      <c r="P1016" s="1689">
        <f>$P$1015*D1016</f>
        <v>0</v>
      </c>
      <c r="Q1016" s="985">
        <f>$Q$1015*D1016</f>
        <v>0</v>
      </c>
      <c r="R1016" s="989">
        <f>$R$1015*D1016</f>
        <v>0</v>
      </c>
      <c r="S1016" s="985"/>
      <c r="T1016" s="1858">
        <f t="shared" si="198"/>
        <v>0</v>
      </c>
    </row>
    <row r="1017" spans="1:20" ht="22.2" hidden="1" customHeight="1">
      <c r="A1017" s="1444">
        <f>COUNTIF($C$12:C1017,"x")</f>
        <v>41</v>
      </c>
      <c r="B1017" s="1451" t="s">
        <v>1609</v>
      </c>
      <c r="C1017" s="966" t="str">
        <f t="shared" si="206"/>
        <v xml:space="preserve"> </v>
      </c>
      <c r="D1017" s="1411">
        <v>2</v>
      </c>
      <c r="E1017" s="976"/>
      <c r="F1017" s="988" t="s">
        <v>2438</v>
      </c>
      <c r="G1017" s="976" t="s">
        <v>2439</v>
      </c>
      <c r="H1017" s="1689">
        <f>$H$1015*$D1017</f>
        <v>0</v>
      </c>
      <c r="I1017" s="1689">
        <f t="shared" si="207"/>
        <v>0</v>
      </c>
      <c r="J1017" s="1689">
        <f t="shared" si="207"/>
        <v>0</v>
      </c>
      <c r="K1017" s="1689">
        <f t="shared" si="207"/>
        <v>0</v>
      </c>
      <c r="L1017" s="1689">
        <f t="shared" si="207"/>
        <v>0</v>
      </c>
      <c r="M1017" s="1689"/>
      <c r="N1017" s="1689"/>
      <c r="O1017" s="1689"/>
      <c r="P1017" s="1689">
        <f>$P$1015*D1017</f>
        <v>0</v>
      </c>
      <c r="Q1017" s="985">
        <f>$Q$1015*D1017</f>
        <v>0</v>
      </c>
      <c r="R1017" s="985">
        <f>$R$1015*D1017</f>
        <v>0</v>
      </c>
      <c r="S1017" s="985"/>
      <c r="T1017" s="1858">
        <f t="shared" si="198"/>
        <v>0</v>
      </c>
    </row>
    <row r="1018" spans="1:20" ht="22.2" hidden="1" customHeight="1">
      <c r="A1018" s="1444">
        <f>COUNTIF($C$12:C1018,"x")</f>
        <v>41</v>
      </c>
      <c r="B1018" s="1451" t="s">
        <v>1784</v>
      </c>
      <c r="C1018" s="966" t="str">
        <f t="shared" si="206"/>
        <v xml:space="preserve"> </v>
      </c>
      <c r="D1018" s="1411">
        <v>2</v>
      </c>
      <c r="E1018" s="976"/>
      <c r="F1018" s="988" t="s">
        <v>2446</v>
      </c>
      <c r="G1018" s="976" t="s">
        <v>2439</v>
      </c>
      <c r="H1018" s="1689">
        <f>$H$1015*$D1018</f>
        <v>0</v>
      </c>
      <c r="I1018" s="1689">
        <f t="shared" si="207"/>
        <v>0</v>
      </c>
      <c r="J1018" s="1689">
        <f t="shared" si="207"/>
        <v>0</v>
      </c>
      <c r="K1018" s="1689">
        <f t="shared" si="207"/>
        <v>0</v>
      </c>
      <c r="L1018" s="1689">
        <f t="shared" si="207"/>
        <v>0</v>
      </c>
      <c r="M1018" s="1689"/>
      <c r="N1018" s="1689"/>
      <c r="O1018" s="1689"/>
      <c r="P1018" s="1689">
        <f>$P$1015*D1018</f>
        <v>0</v>
      </c>
      <c r="Q1018" s="985">
        <f>$Q$1015*D1018</f>
        <v>0</v>
      </c>
      <c r="R1018" s="985">
        <f>$R$1015*D1018</f>
        <v>0</v>
      </c>
      <c r="S1018" s="985"/>
      <c r="T1018" s="1858">
        <f t="shared" si="198"/>
        <v>0</v>
      </c>
    </row>
    <row r="1019" spans="1:20" ht="22.2" hidden="1" customHeight="1">
      <c r="A1019" s="1444">
        <f>COUNTIF($C$12:C1019,"x")</f>
        <v>41</v>
      </c>
      <c r="B1019" s="1451" t="s">
        <v>2242</v>
      </c>
      <c r="C1019" s="966" t="str">
        <f t="shared" si="206"/>
        <v xml:space="preserve"> </v>
      </c>
      <c r="D1019" s="1410">
        <v>1</v>
      </c>
      <c r="E1019" s="992"/>
      <c r="F1019" s="981" t="s">
        <v>2440</v>
      </c>
      <c r="G1019" s="976" t="s">
        <v>2439</v>
      </c>
      <c r="H1019" s="1689">
        <f>$H$1015*$D1019</f>
        <v>0</v>
      </c>
      <c r="I1019" s="1689">
        <f t="shared" si="207"/>
        <v>0</v>
      </c>
      <c r="J1019" s="1689">
        <f t="shared" si="207"/>
        <v>0</v>
      </c>
      <c r="K1019" s="1689">
        <f t="shared" si="207"/>
        <v>0</v>
      </c>
      <c r="L1019" s="1689">
        <f t="shared" si="207"/>
        <v>0</v>
      </c>
      <c r="M1019" s="1689"/>
      <c r="N1019" s="1689"/>
      <c r="O1019" s="1689"/>
      <c r="P1019" s="1689">
        <f>$P$1015*D1019</f>
        <v>0</v>
      </c>
      <c r="Q1019" s="985">
        <f>$Q$1015*D1019</f>
        <v>0</v>
      </c>
      <c r="R1019" s="985">
        <f>$R$1015*D1019</f>
        <v>0</v>
      </c>
      <c r="S1019" s="985"/>
      <c r="T1019" s="1858">
        <f t="shared" si="198"/>
        <v>0</v>
      </c>
    </row>
    <row r="1020" spans="1:20" ht="22.2" hidden="1" customHeight="1">
      <c r="A1020" s="1444">
        <f>COUNTIF($C$12:C1020,"x")</f>
        <v>41</v>
      </c>
      <c r="B1020" s="1451" t="s">
        <v>1996</v>
      </c>
      <c r="C1020" s="966" t="str">
        <f t="shared" si="206"/>
        <v xml:space="preserve"> </v>
      </c>
      <c r="D1020" s="1409"/>
      <c r="E1020" s="976"/>
      <c r="F1020" s="981" t="s">
        <v>2441</v>
      </c>
      <c r="G1020" s="976" t="s">
        <v>2442</v>
      </c>
      <c r="H1020" s="1689">
        <f>H$1007*$D1020</f>
        <v>0</v>
      </c>
      <c r="I1020" s="1689">
        <f t="shared" si="207"/>
        <v>0</v>
      </c>
      <c r="J1020" s="1689">
        <f t="shared" si="207"/>
        <v>0</v>
      </c>
      <c r="K1020" s="1689">
        <f t="shared" si="207"/>
        <v>0</v>
      </c>
      <c r="L1020" s="1689">
        <f t="shared" si="207"/>
        <v>0</v>
      </c>
      <c r="M1020" s="1689"/>
      <c r="N1020" s="1689"/>
      <c r="O1020" s="1689"/>
      <c r="P1020" s="1689">
        <f>$P$1015*D1020</f>
        <v>0</v>
      </c>
      <c r="Q1020" s="985">
        <f>$Q$1015*D1020</f>
        <v>0</v>
      </c>
      <c r="R1020" s="985">
        <f>$R$1015*D1020</f>
        <v>0</v>
      </c>
      <c r="S1020" s="985"/>
      <c r="T1020" s="1858">
        <f t="shared" ref="T1020:T1083" si="208">IFERROR(HLOOKUP(B1020,BangKeTru,3,0),0)</f>
        <v>0</v>
      </c>
    </row>
    <row r="1021" spans="1:20" ht="22.2" hidden="1" customHeight="1">
      <c r="A1021" s="1444">
        <f>COUNTIF($C$12:C1021,"x")</f>
        <v>41</v>
      </c>
      <c r="B1021" s="1460" t="s">
        <v>1997</v>
      </c>
      <c r="C1021" s="966" t="str">
        <f t="shared" si="206"/>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8"/>
        <v>0</v>
      </c>
    </row>
    <row r="1022" spans="1:20" ht="22.2" hidden="1" customHeight="1">
      <c r="A1022" s="1444">
        <f>COUNTIF($C$12:C1022,"x")</f>
        <v>41</v>
      </c>
      <c r="B1022" s="1460" t="s">
        <v>635</v>
      </c>
      <c r="C1022" s="966" t="str">
        <f t="shared" si="206"/>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8"/>
        <v>0</v>
      </c>
    </row>
    <row r="1023" spans="1:20" ht="22.2" hidden="1" customHeight="1">
      <c r="A1023" s="1444">
        <f>COUNTIF($C$12:C1023,"x")</f>
        <v>41</v>
      </c>
      <c r="B1023" s="1448" t="s">
        <v>1574</v>
      </c>
      <c r="C1023" s="966" t="str">
        <f t="shared" si="206"/>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2" hidden="1" customHeight="1">
      <c r="A1024" s="1444">
        <f>COUNTIF($C$12:C1024,"x")</f>
        <v>41</v>
      </c>
      <c r="B1024" s="1451" t="s">
        <v>109</v>
      </c>
      <c r="C1024" s="966" t="str">
        <f t="shared" si="206"/>
        <v xml:space="preserve"> </v>
      </c>
      <c r="D1024" s="1410">
        <f>9.02*(2.8+3*0.1)*2</f>
        <v>55.923999999999992</v>
      </c>
      <c r="E1024" s="976"/>
      <c r="F1024" s="988" t="str">
        <f>VLOOKUP($B1024,DG!A:D,DG!$C$2,)</f>
        <v>Sắt góc L75 x75 x8</v>
      </c>
      <c r="G1024" s="976" t="str">
        <f>VLOOKUP($B1024,DG!A:D,DG!$D$2,)</f>
        <v>kg</v>
      </c>
      <c r="H1024" s="1689">
        <f t="shared" ref="H1024:L1028" si="209">H$1023*$D1024</f>
        <v>0</v>
      </c>
      <c r="I1024" s="1689">
        <f t="shared" si="209"/>
        <v>0</v>
      </c>
      <c r="J1024" s="1689">
        <f t="shared" si="209"/>
        <v>0</v>
      </c>
      <c r="K1024" s="1689">
        <f t="shared" si="209"/>
        <v>0</v>
      </c>
      <c r="L1024" s="1689">
        <f t="shared" si="209"/>
        <v>0</v>
      </c>
      <c r="M1024" s="1689"/>
      <c r="N1024" s="1689"/>
      <c r="O1024" s="1689"/>
      <c r="P1024" s="1689"/>
      <c r="Q1024" s="985"/>
      <c r="R1024" s="985"/>
      <c r="S1024" s="985"/>
      <c r="T1024" s="1858">
        <f t="shared" si="208"/>
        <v>0</v>
      </c>
    </row>
    <row r="1025" spans="1:20" ht="22.2" hidden="1" customHeight="1">
      <c r="A1025" s="1444">
        <f>COUNTIF($C$12:C1025,"x")</f>
        <v>41</v>
      </c>
      <c r="B1025" s="1451" t="s">
        <v>457</v>
      </c>
      <c r="C1025" s="966" t="str">
        <f t="shared" si="206"/>
        <v xml:space="preserve"> </v>
      </c>
      <c r="D1025" s="1410">
        <f>0.92*3.77*4</f>
        <v>13.873600000000001</v>
      </c>
      <c r="E1025" s="976"/>
      <c r="F1025" s="988" t="str">
        <f>VLOOKUP($B1025,DG!A:D,DG!$C$2,)</f>
        <v>Sắt góc L50 x50 x5</v>
      </c>
      <c r="G1025" s="976" t="str">
        <f>VLOOKUP($B1025,DG!A:D,DG!$D$2,)</f>
        <v>kg</v>
      </c>
      <c r="H1025" s="1689">
        <f t="shared" si="209"/>
        <v>0</v>
      </c>
      <c r="I1025" s="1689">
        <f t="shared" si="209"/>
        <v>0</v>
      </c>
      <c r="J1025" s="1689">
        <f t="shared" si="209"/>
        <v>0</v>
      </c>
      <c r="K1025" s="1689">
        <f t="shared" si="209"/>
        <v>0</v>
      </c>
      <c r="L1025" s="1689">
        <f t="shared" si="209"/>
        <v>0</v>
      </c>
      <c r="M1025" s="1689"/>
      <c r="N1025" s="1689"/>
      <c r="O1025" s="1689"/>
      <c r="P1025" s="1689"/>
      <c r="Q1025" s="985"/>
      <c r="R1025" s="985"/>
      <c r="S1025" s="985"/>
      <c r="T1025" s="1858">
        <f t="shared" si="208"/>
        <v>0</v>
      </c>
    </row>
    <row r="1026" spans="1:20" ht="22.2" hidden="1" customHeight="1">
      <c r="A1026" s="1444">
        <f>COUNTIF($C$12:C1026,"x")</f>
        <v>41</v>
      </c>
      <c r="B1026" s="1451" t="s">
        <v>457</v>
      </c>
      <c r="C1026" s="966" t="str">
        <f t="shared" si="206"/>
        <v xml:space="preserve"> </v>
      </c>
      <c r="D1026" s="1410">
        <f>2*0.45*6</f>
        <v>5.4</v>
      </c>
      <c r="E1026" s="976"/>
      <c r="F1026" s="988" t="s">
        <v>2448</v>
      </c>
      <c r="G1026" s="976" t="str">
        <f>VLOOKUP($B1026,DG!A:D,DG!$D$2,)</f>
        <v>kg</v>
      </c>
      <c r="H1026" s="1689">
        <f t="shared" si="209"/>
        <v>0</v>
      </c>
      <c r="I1026" s="1689">
        <f t="shared" si="209"/>
        <v>0</v>
      </c>
      <c r="J1026" s="1689">
        <f t="shared" si="209"/>
        <v>0</v>
      </c>
      <c r="K1026" s="1689">
        <f t="shared" si="209"/>
        <v>0</v>
      </c>
      <c r="L1026" s="1689">
        <f t="shared" si="209"/>
        <v>0</v>
      </c>
      <c r="M1026" s="1689"/>
      <c r="N1026" s="1689"/>
      <c r="O1026" s="1689"/>
      <c r="P1026" s="1689"/>
      <c r="Q1026" s="985"/>
      <c r="R1026" s="985"/>
      <c r="S1026" s="985"/>
      <c r="T1026" s="1858">
        <f t="shared" si="208"/>
        <v>0</v>
      </c>
    </row>
    <row r="1027" spans="1:20" ht="22.2" hidden="1" customHeight="1">
      <c r="A1027" s="1444">
        <f>COUNTIF($C$12:C1027,"x")</f>
        <v>41</v>
      </c>
      <c r="B1027" s="1451" t="s">
        <v>1610</v>
      </c>
      <c r="C1027" s="966" t="str">
        <f t="shared" si="206"/>
        <v xml:space="preserve"> </v>
      </c>
      <c r="D1027" s="1411">
        <v>4</v>
      </c>
      <c r="E1027" s="976"/>
      <c r="F1027" s="988" t="str">
        <f>VLOOKUP($B1027,DG!A:D,DG!$C$2,)</f>
        <v>Boulon 16x300+ 2 long đền vuông D18-50x50x3/Zn</v>
      </c>
      <c r="G1027" s="976" t="str">
        <f>VLOOKUP($B1027,DG!A:D,DG!$D$2,)</f>
        <v>bộ</v>
      </c>
      <c r="H1027" s="1689">
        <f t="shared" si="209"/>
        <v>0</v>
      </c>
      <c r="I1027" s="1689">
        <f t="shared" si="209"/>
        <v>0</v>
      </c>
      <c r="J1027" s="1689">
        <f t="shared" si="209"/>
        <v>0</v>
      </c>
      <c r="K1027" s="1689">
        <f t="shared" si="209"/>
        <v>0</v>
      </c>
      <c r="L1027" s="1689">
        <f t="shared" si="209"/>
        <v>0</v>
      </c>
      <c r="M1027" s="1689"/>
      <c r="N1027" s="1689"/>
      <c r="O1027" s="1689"/>
      <c r="P1027" s="1689"/>
      <c r="Q1027" s="985"/>
      <c r="R1027" s="985"/>
      <c r="S1027" s="985"/>
      <c r="T1027" s="1858">
        <f t="shared" si="208"/>
        <v>0</v>
      </c>
    </row>
    <row r="1028" spans="1:20" ht="22.2" hidden="1" customHeight="1">
      <c r="A1028" s="1444">
        <f>COUNTIF($C$12:C1028,"x")</f>
        <v>41</v>
      </c>
      <c r="B1028" s="1451" t="s">
        <v>1784</v>
      </c>
      <c r="C1028" s="966" t="str">
        <f t="shared" si="206"/>
        <v xml:space="preserve"> </v>
      </c>
      <c r="D1028" s="1411">
        <v>4</v>
      </c>
      <c r="E1028" s="976"/>
      <c r="F1028" s="988" t="str">
        <f>VLOOKUP($B1028,DG!A:D,DG!$C$2,)</f>
        <v>Boulon 16x300VRS+ 4 long đền vuông D18-50x50x3/Zn</v>
      </c>
      <c r="G1028" s="976" t="str">
        <f>VLOOKUP($B1028,DG!A:D,DG!$D$2,)</f>
        <v>bộ</v>
      </c>
      <c r="H1028" s="1689">
        <f t="shared" si="209"/>
        <v>0</v>
      </c>
      <c r="I1028" s="1689">
        <f t="shared" si="209"/>
        <v>0</v>
      </c>
      <c r="J1028" s="1689">
        <f t="shared" si="209"/>
        <v>0</v>
      </c>
      <c r="K1028" s="1689">
        <f t="shared" si="209"/>
        <v>0</v>
      </c>
      <c r="L1028" s="1689">
        <f t="shared" si="209"/>
        <v>0</v>
      </c>
      <c r="M1028" s="1689"/>
      <c r="N1028" s="1689"/>
      <c r="O1028" s="1689"/>
      <c r="P1028" s="1689"/>
      <c r="Q1028" s="985"/>
      <c r="R1028" s="985"/>
      <c r="S1028" s="985"/>
      <c r="T1028" s="1858">
        <f t="shared" si="208"/>
        <v>0</v>
      </c>
    </row>
    <row r="1029" spans="1:20" ht="22.2" hidden="1" customHeight="1">
      <c r="A1029" s="1444">
        <f>COUNTIF($C$12:C1029,"x")</f>
        <v>41</v>
      </c>
      <c r="B1029" s="1451" t="s">
        <v>2242</v>
      </c>
      <c r="C1029" s="966" t="str">
        <f t="shared" si="206"/>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8"/>
        <v>0</v>
      </c>
    </row>
    <row r="1030" spans="1:20" ht="22.2" hidden="1" customHeight="1">
      <c r="A1030" s="1444">
        <f>COUNTIF($C$12:C1030,"x")</f>
        <v>41</v>
      </c>
      <c r="B1030" s="1451" t="s">
        <v>1996</v>
      </c>
      <c r="C1030" s="966" t="str">
        <f t="shared" si="206"/>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8"/>
        <v>0</v>
      </c>
    </row>
    <row r="1031" spans="1:20" ht="22.2" hidden="1" customHeight="1">
      <c r="A1031" s="1444">
        <f>COUNTIF($C$12:C1031,"x")</f>
        <v>41</v>
      </c>
      <c r="B1031" s="1460" t="s">
        <v>1997</v>
      </c>
      <c r="C1031" s="966" t="str">
        <f t="shared" si="206"/>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8"/>
        <v>0</v>
      </c>
    </row>
    <row r="1032" spans="1:20" ht="22.2" hidden="1" customHeight="1">
      <c r="A1032" s="1444">
        <f>COUNTIF($C$12:C1032,"x")</f>
        <v>41</v>
      </c>
      <c r="B1032" s="1460" t="s">
        <v>635</v>
      </c>
      <c r="C1032" s="966" t="str">
        <f t="shared" si="206"/>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8"/>
        <v>0</v>
      </c>
    </row>
    <row r="1033" spans="1:20" ht="22.2" hidden="1" customHeight="1">
      <c r="A1033" s="1444">
        <f>COUNTIF($C$12:C1033,"x")</f>
        <v>41</v>
      </c>
      <c r="B1033" s="1448" t="s">
        <v>105</v>
      </c>
      <c r="C1033" s="966" t="str">
        <f t="shared" si="206"/>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2" hidden="1" customHeight="1">
      <c r="A1034" s="1444">
        <f>COUNTIF($C$12:C1034,"x")</f>
        <v>41</v>
      </c>
      <c r="B1034" s="1451" t="s">
        <v>109</v>
      </c>
      <c r="C1034" s="966" t="str">
        <f t="shared" si="206"/>
        <v xml:space="preserve"> </v>
      </c>
      <c r="D1034" s="1410">
        <f>9.02*(3+3*0.1)*2</f>
        <v>59.531999999999996</v>
      </c>
      <c r="E1034" s="976"/>
      <c r="F1034" s="988" t="str">
        <f>VLOOKUP($B1034,DG!A:D,DG!$C$2,)</f>
        <v>Sắt góc L75 x75 x8</v>
      </c>
      <c r="G1034" s="976" t="str">
        <f>VLOOKUP($B1034,DG!A:D,DG!$D$2,)</f>
        <v>kg</v>
      </c>
      <c r="H1034" s="1689">
        <f t="shared" ref="H1034:L1038" si="210">H$1033*$D1034</f>
        <v>0</v>
      </c>
      <c r="I1034" s="1689">
        <f t="shared" si="210"/>
        <v>0</v>
      </c>
      <c r="J1034" s="1689">
        <f t="shared" si="210"/>
        <v>0</v>
      </c>
      <c r="K1034" s="1689">
        <f t="shared" si="210"/>
        <v>0</v>
      </c>
      <c r="L1034" s="1689">
        <f t="shared" si="210"/>
        <v>0</v>
      </c>
      <c r="M1034" s="1689"/>
      <c r="N1034" s="1689"/>
      <c r="O1034" s="1689"/>
      <c r="P1034" s="1689"/>
      <c r="Q1034" s="985"/>
      <c r="R1034" s="985"/>
      <c r="S1034" s="985"/>
      <c r="T1034" s="1858">
        <f t="shared" si="208"/>
        <v>0</v>
      </c>
    </row>
    <row r="1035" spans="1:20" ht="22.2" hidden="1" customHeight="1">
      <c r="A1035" s="1444">
        <f>COUNTIF($C$12:C1035,"x")</f>
        <v>41</v>
      </c>
      <c r="B1035" s="1451" t="s">
        <v>279</v>
      </c>
      <c r="C1035" s="966" t="str">
        <f t="shared" si="206"/>
        <v xml:space="preserve"> </v>
      </c>
      <c r="D1035" s="1410">
        <f>0.92*2.826*4</f>
        <v>10.39968</v>
      </c>
      <c r="E1035" s="976"/>
      <c r="F1035" s="988" t="str">
        <f>VLOOKUP($B1035,DG!A:D,DG!$C$2,)</f>
        <v>Sắt dẹt 60 x 6</v>
      </c>
      <c r="G1035" s="976" t="str">
        <f>VLOOKUP($B1035,DG!A:D,DG!$D$2,)</f>
        <v>kg</v>
      </c>
      <c r="H1035" s="1689">
        <f t="shared" si="210"/>
        <v>0</v>
      </c>
      <c r="I1035" s="1689">
        <f t="shared" si="210"/>
        <v>0</v>
      </c>
      <c r="J1035" s="1689">
        <f t="shared" si="210"/>
        <v>0</v>
      </c>
      <c r="K1035" s="1689">
        <f t="shared" si="210"/>
        <v>0</v>
      </c>
      <c r="L1035" s="1689">
        <f t="shared" si="210"/>
        <v>0</v>
      </c>
      <c r="M1035" s="1689"/>
      <c r="N1035" s="1689"/>
      <c r="O1035" s="1689"/>
      <c r="P1035" s="1689"/>
      <c r="Q1035" s="985"/>
      <c r="R1035" s="985"/>
      <c r="S1035" s="985"/>
      <c r="T1035" s="1858">
        <f t="shared" si="208"/>
        <v>0</v>
      </c>
    </row>
    <row r="1036" spans="1:20" ht="22.2" hidden="1" customHeight="1">
      <c r="A1036" s="1444">
        <f>COUNTIF($C$12:C1036,"x")</f>
        <v>41</v>
      </c>
      <c r="B1036" s="1451" t="s">
        <v>1786</v>
      </c>
      <c r="C1036" s="966" t="str">
        <f t="shared" si="206"/>
        <v xml:space="preserve"> </v>
      </c>
      <c r="D1036" s="1411">
        <v>4</v>
      </c>
      <c r="E1036" s="976"/>
      <c r="F1036" s="988" t="str">
        <f>VLOOKUP($B1036,DG!A:D,DG!$C$2,)</f>
        <v>Boulon 16x50+ 2 long đền vuông D18-50x50x3/Zn</v>
      </c>
      <c r="G1036" s="976" t="str">
        <f>VLOOKUP($B1036,DG!A:D,DG!$D$2,)</f>
        <v>bộ</v>
      </c>
      <c r="H1036" s="1689">
        <f t="shared" si="210"/>
        <v>0</v>
      </c>
      <c r="I1036" s="1689">
        <f t="shared" si="210"/>
        <v>0</v>
      </c>
      <c r="J1036" s="1689">
        <f t="shared" si="210"/>
        <v>0</v>
      </c>
      <c r="K1036" s="1689">
        <f t="shared" si="210"/>
        <v>0</v>
      </c>
      <c r="L1036" s="1689">
        <f t="shared" si="210"/>
        <v>0</v>
      </c>
      <c r="M1036" s="1689"/>
      <c r="N1036" s="1689"/>
      <c r="O1036" s="1689"/>
      <c r="P1036" s="1689"/>
      <c r="Q1036" s="985"/>
      <c r="R1036" s="985"/>
      <c r="S1036" s="985"/>
      <c r="T1036" s="1858">
        <f t="shared" si="208"/>
        <v>0</v>
      </c>
    </row>
    <row r="1037" spans="1:20" ht="22.2" hidden="1" customHeight="1">
      <c r="A1037" s="1444">
        <f>COUNTIF($C$12:C1037,"x")</f>
        <v>41</v>
      </c>
      <c r="B1037" s="1451" t="s">
        <v>1609</v>
      </c>
      <c r="C1037" s="966" t="str">
        <f t="shared" si="206"/>
        <v xml:space="preserve"> </v>
      </c>
      <c r="D1037" s="1411">
        <v>4</v>
      </c>
      <c r="E1037" s="976"/>
      <c r="F1037" s="988" t="str">
        <f>VLOOKUP($B1037,DG!A:D,DG!$C$2,)</f>
        <v>Boulon 16x250+ 2 long đền vuông D18-50x50x3/Zn</v>
      </c>
      <c r="G1037" s="976" t="str">
        <f>VLOOKUP($B1037,DG!A:D,DG!$D$2,)</f>
        <v>bộ</v>
      </c>
      <c r="H1037" s="1689">
        <f t="shared" si="210"/>
        <v>0</v>
      </c>
      <c r="I1037" s="1689">
        <f t="shared" si="210"/>
        <v>0</v>
      </c>
      <c r="J1037" s="1689">
        <f t="shared" si="210"/>
        <v>0</v>
      </c>
      <c r="K1037" s="1689">
        <f t="shared" si="210"/>
        <v>0</v>
      </c>
      <c r="L1037" s="1689">
        <f t="shared" si="210"/>
        <v>0</v>
      </c>
      <c r="M1037" s="1689"/>
      <c r="N1037" s="1689"/>
      <c r="O1037" s="1689"/>
      <c r="P1037" s="1689"/>
      <c r="Q1037" s="985"/>
      <c r="R1037" s="985"/>
      <c r="S1037" s="985"/>
      <c r="T1037" s="1858">
        <f t="shared" si="208"/>
        <v>0</v>
      </c>
    </row>
    <row r="1038" spans="1:20" ht="22.2" hidden="1" customHeight="1">
      <c r="A1038" s="1444">
        <f>COUNTIF($C$12:C1038,"x")</f>
        <v>41</v>
      </c>
      <c r="B1038" s="1451" t="s">
        <v>1784</v>
      </c>
      <c r="C1038" s="966" t="str">
        <f t="shared" si="206"/>
        <v xml:space="preserve"> </v>
      </c>
      <c r="D1038" s="1411">
        <v>4</v>
      </c>
      <c r="E1038" s="976"/>
      <c r="F1038" s="988" t="str">
        <f>VLOOKUP($B1038,DG!A:D,DG!$C$2,)</f>
        <v>Boulon 16x300VRS+ 4 long đền vuông D18-50x50x3/Zn</v>
      </c>
      <c r="G1038" s="976" t="str">
        <f>VLOOKUP($B1038,DG!A:D,DG!$D$2,)</f>
        <v>bộ</v>
      </c>
      <c r="H1038" s="1689">
        <f t="shared" si="210"/>
        <v>0</v>
      </c>
      <c r="I1038" s="1689">
        <f t="shared" si="210"/>
        <v>0</v>
      </c>
      <c r="J1038" s="1689">
        <f t="shared" si="210"/>
        <v>0</v>
      </c>
      <c r="K1038" s="1689">
        <f t="shared" si="210"/>
        <v>0</v>
      </c>
      <c r="L1038" s="1689">
        <f t="shared" si="210"/>
        <v>0</v>
      </c>
      <c r="M1038" s="1689"/>
      <c r="N1038" s="1689"/>
      <c r="O1038" s="1689"/>
      <c r="P1038" s="1689"/>
      <c r="Q1038" s="985"/>
      <c r="R1038" s="985"/>
      <c r="S1038" s="985"/>
      <c r="T1038" s="1858">
        <f t="shared" si="208"/>
        <v>0</v>
      </c>
    </row>
    <row r="1039" spans="1:20" ht="22.2" hidden="1" customHeight="1">
      <c r="A1039" s="1444">
        <f>COUNTIF($C$12:C1039,"x")</f>
        <v>41</v>
      </c>
      <c r="B1039" s="1451" t="s">
        <v>2242</v>
      </c>
      <c r="C1039" s="966" t="str">
        <f t="shared" si="206"/>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8"/>
        <v>0</v>
      </c>
    </row>
    <row r="1040" spans="1:20" ht="22.2" hidden="1" customHeight="1">
      <c r="A1040" s="1444">
        <f>COUNTIF($C$12:C1040,"x")</f>
        <v>41</v>
      </c>
      <c r="B1040" s="1451" t="s">
        <v>1996</v>
      </c>
      <c r="C1040" s="966" t="str">
        <f t="shared" si="206"/>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8"/>
        <v>0</v>
      </c>
    </row>
    <row r="1041" spans="1:20" ht="22.2" hidden="1" customHeight="1">
      <c r="A1041" s="1444">
        <f>COUNTIF($C$12:C1041,"x")</f>
        <v>41</v>
      </c>
      <c r="B1041" s="1460" t="s">
        <v>1997</v>
      </c>
      <c r="C1041" s="966" t="str">
        <f t="shared" si="206"/>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8"/>
        <v>0</v>
      </c>
    </row>
    <row r="1042" spans="1:20" ht="22.2" hidden="1" customHeight="1">
      <c r="A1042" s="1444">
        <f>COUNTIF($C$12:C1042,"x")</f>
        <v>41</v>
      </c>
      <c r="B1042" s="1460" t="s">
        <v>635</v>
      </c>
      <c r="C1042" s="966" t="str">
        <f t="shared" si="206"/>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8"/>
        <v>0</v>
      </c>
    </row>
    <row r="1043" spans="1:20" ht="22.2" hidden="1" customHeight="1">
      <c r="A1043" s="1444">
        <f>COUNTIF($C$12:C1043,"x")</f>
        <v>41</v>
      </c>
      <c r="B1043" s="1448" t="s">
        <v>2299</v>
      </c>
      <c r="C1043" s="966" t="str">
        <f t="shared" si="206"/>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2" hidden="1" customHeight="1">
      <c r="A1044" s="1444">
        <f>COUNTIF($C$12:C1044,"x")</f>
        <v>41</v>
      </c>
      <c r="B1044" s="1451" t="s">
        <v>109</v>
      </c>
      <c r="C1044" s="966" t="str">
        <f t="shared" si="206"/>
        <v xml:space="preserve"> </v>
      </c>
      <c r="D1044" s="1410">
        <f>9.02*(3.8+6*0.1)</f>
        <v>39.688000000000002</v>
      </c>
      <c r="E1044" s="976"/>
      <c r="F1044" s="988" t="str">
        <f>VLOOKUP($B1044,DG!A:D,DG!$C$2,)</f>
        <v>Sắt góc L75 x75 x8</v>
      </c>
      <c r="G1044" s="976" t="str">
        <f>VLOOKUP($B1044,DG!A:D,DG!$D$2,)</f>
        <v>kg</v>
      </c>
      <c r="H1044" s="1689">
        <f t="shared" ref="H1044:L1048" si="211">H$1043*$D1044</f>
        <v>0</v>
      </c>
      <c r="I1044" s="1689">
        <f t="shared" si="211"/>
        <v>0</v>
      </c>
      <c r="J1044" s="1689">
        <f t="shared" si="211"/>
        <v>0</v>
      </c>
      <c r="K1044" s="1689">
        <f t="shared" si="211"/>
        <v>0</v>
      </c>
      <c r="L1044" s="1689">
        <f t="shared" si="211"/>
        <v>0</v>
      </c>
      <c r="M1044" s="1689"/>
      <c r="N1044" s="1689"/>
      <c r="O1044" s="1689"/>
      <c r="P1044" s="1689"/>
      <c r="Q1044" s="985"/>
      <c r="R1044" s="985"/>
      <c r="S1044" s="985"/>
      <c r="T1044" s="1858">
        <f t="shared" si="208"/>
        <v>0</v>
      </c>
    </row>
    <row r="1045" spans="1:20" ht="22.2" hidden="1" customHeight="1">
      <c r="A1045" s="1444">
        <f>COUNTIF($C$12:C1045,"x")</f>
        <v>41</v>
      </c>
      <c r="B1045" s="1451" t="s">
        <v>457</v>
      </c>
      <c r="C1045" s="966" t="str">
        <f t="shared" si="206"/>
        <v xml:space="preserve"> </v>
      </c>
      <c r="D1045" s="1410">
        <f>3.77*2.05*2</f>
        <v>15.456999999999999</v>
      </c>
      <c r="E1045" s="976"/>
      <c r="F1045" s="988" t="str">
        <f>VLOOKUP($B1045,DG!A:D,DG!$C$2,)</f>
        <v>Sắt góc L50 x50 x5</v>
      </c>
      <c r="G1045" s="976" t="str">
        <f>VLOOKUP($B1045,DG!A:D,DG!$D$2,)</f>
        <v>kg</v>
      </c>
      <c r="H1045" s="1689">
        <f t="shared" si="211"/>
        <v>0</v>
      </c>
      <c r="I1045" s="1689">
        <f t="shared" si="211"/>
        <v>0</v>
      </c>
      <c r="J1045" s="1689">
        <f t="shared" si="211"/>
        <v>0</v>
      </c>
      <c r="K1045" s="1689">
        <f t="shared" si="211"/>
        <v>0</v>
      </c>
      <c r="L1045" s="1689">
        <f t="shared" si="211"/>
        <v>0</v>
      </c>
      <c r="M1045" s="1689"/>
      <c r="N1045" s="1689"/>
      <c r="O1045" s="1689"/>
      <c r="P1045" s="1689"/>
      <c r="Q1045" s="985"/>
      <c r="R1045" s="985"/>
      <c r="S1045" s="985"/>
      <c r="T1045" s="1858">
        <f t="shared" si="208"/>
        <v>0</v>
      </c>
    </row>
    <row r="1046" spans="1:20" ht="22.2" hidden="1" customHeight="1">
      <c r="A1046" s="1444">
        <f>COUNTIF($C$12:C1046,"x")</f>
        <v>41</v>
      </c>
      <c r="B1046" s="1451" t="s">
        <v>2106</v>
      </c>
      <c r="C1046" s="966" t="str">
        <f t="shared" si="206"/>
        <v xml:space="preserve"> </v>
      </c>
      <c r="D1046" s="1410">
        <f>1.963*0.4*2</f>
        <v>1.5704000000000002</v>
      </c>
      <c r="E1046" s="976"/>
      <c r="F1046" s="988" t="str">
        <f>VLOOKUP($B1046,DG!A:D,DG!$C$2,)</f>
        <v>Sắt dẹt 50x5</v>
      </c>
      <c r="G1046" s="976" t="str">
        <f>VLOOKUP($B1046,DG!A:D,DG!$D$2,)</f>
        <v>kg</v>
      </c>
      <c r="H1046" s="1689">
        <f t="shared" si="211"/>
        <v>0</v>
      </c>
      <c r="I1046" s="1689">
        <f t="shared" si="211"/>
        <v>0</v>
      </c>
      <c r="J1046" s="1689">
        <f t="shared" si="211"/>
        <v>0</v>
      </c>
      <c r="K1046" s="1689">
        <f t="shared" si="211"/>
        <v>0</v>
      </c>
      <c r="L1046" s="1689">
        <f t="shared" si="211"/>
        <v>0</v>
      </c>
      <c r="M1046" s="1689"/>
      <c r="N1046" s="1689"/>
      <c r="O1046" s="1689"/>
      <c r="P1046" s="1689"/>
      <c r="Q1046" s="985"/>
      <c r="R1046" s="985"/>
      <c r="S1046" s="985"/>
      <c r="T1046" s="1858">
        <f t="shared" si="208"/>
        <v>0</v>
      </c>
    </row>
    <row r="1047" spans="1:20" ht="22.2" hidden="1" customHeight="1">
      <c r="A1047" s="1444">
        <f>COUNTIF($C$12:C1047,"x")</f>
        <v>41</v>
      </c>
      <c r="B1047" s="1451" t="s">
        <v>1609</v>
      </c>
      <c r="C1047" s="966" t="str">
        <f t="shared" si="206"/>
        <v xml:space="preserve"> </v>
      </c>
      <c r="D1047" s="1411">
        <v>2</v>
      </c>
      <c r="E1047" s="976"/>
      <c r="F1047" s="988" t="str">
        <f>VLOOKUP($B1047,DG!A:D,DG!$C$2,)</f>
        <v>Boulon 16x250+ 2 long đền vuông D18-50x50x3/Zn</v>
      </c>
      <c r="G1047" s="976" t="str">
        <f>VLOOKUP($B1047,DG!A:D,DG!$D$2,)</f>
        <v>bộ</v>
      </c>
      <c r="H1047" s="1689">
        <f t="shared" si="211"/>
        <v>0</v>
      </c>
      <c r="I1047" s="1689">
        <f t="shared" si="211"/>
        <v>0</v>
      </c>
      <c r="J1047" s="1689">
        <f t="shared" si="211"/>
        <v>0</v>
      </c>
      <c r="K1047" s="1689">
        <f t="shared" si="211"/>
        <v>0</v>
      </c>
      <c r="L1047" s="1689">
        <f t="shared" si="211"/>
        <v>0</v>
      </c>
      <c r="M1047" s="1689"/>
      <c r="N1047" s="1689"/>
      <c r="O1047" s="1689"/>
      <c r="P1047" s="1689"/>
      <c r="Q1047" s="985"/>
      <c r="R1047" s="985"/>
      <c r="S1047" s="985"/>
      <c r="T1047" s="1858">
        <f t="shared" si="208"/>
        <v>0</v>
      </c>
    </row>
    <row r="1048" spans="1:20" ht="22.2" hidden="1" customHeight="1">
      <c r="A1048" s="1444">
        <f>COUNTIF($C$12:C1048,"x")</f>
        <v>41</v>
      </c>
      <c r="B1048" s="1451" t="s">
        <v>1786</v>
      </c>
      <c r="C1048" s="966" t="str">
        <f t="shared" si="206"/>
        <v xml:space="preserve"> </v>
      </c>
      <c r="D1048" s="1411">
        <v>2</v>
      </c>
      <c r="E1048" s="976"/>
      <c r="F1048" s="988" t="str">
        <f>VLOOKUP($B1048,DG!A:D,DG!$C$2,)</f>
        <v>Boulon 16x50+ 2 long đền vuông D18-50x50x3/Zn</v>
      </c>
      <c r="G1048" s="976" t="str">
        <f>VLOOKUP($B1048,DG!A:D,DG!$D$2,)</f>
        <v>bộ</v>
      </c>
      <c r="H1048" s="1689">
        <f t="shared" si="211"/>
        <v>0</v>
      </c>
      <c r="I1048" s="1689">
        <f t="shared" si="211"/>
        <v>0</v>
      </c>
      <c r="J1048" s="1689">
        <f t="shared" si="211"/>
        <v>0</v>
      </c>
      <c r="K1048" s="1689">
        <f t="shared" si="211"/>
        <v>0</v>
      </c>
      <c r="L1048" s="1689">
        <f t="shared" si="211"/>
        <v>0</v>
      </c>
      <c r="M1048" s="1689"/>
      <c r="N1048" s="1689"/>
      <c r="O1048" s="1689"/>
      <c r="P1048" s="1689"/>
      <c r="Q1048" s="985"/>
      <c r="R1048" s="985"/>
      <c r="S1048" s="985"/>
      <c r="T1048" s="1858">
        <f t="shared" si="208"/>
        <v>0</v>
      </c>
    </row>
    <row r="1049" spans="1:20" ht="22.2" hidden="1" customHeight="1">
      <c r="A1049" s="1444">
        <f>COUNTIF($C$12:C1049,"x")</f>
        <v>41</v>
      </c>
      <c r="B1049" s="1451" t="s">
        <v>1995</v>
      </c>
      <c r="C1049" s="966" t="str">
        <f t="shared" si="206"/>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8"/>
        <v>0</v>
      </c>
    </row>
    <row r="1050" spans="1:20" ht="22.2" hidden="1" customHeight="1">
      <c r="A1050" s="1444">
        <f>COUNTIF($C$12:C1050,"x")</f>
        <v>41</v>
      </c>
      <c r="B1050" s="1451" t="s">
        <v>1996</v>
      </c>
      <c r="C1050" s="966" t="str">
        <f t="shared" si="206"/>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8"/>
        <v>0</v>
      </c>
    </row>
    <row r="1051" spans="1:20" ht="22.2" hidden="1" customHeight="1">
      <c r="A1051" s="1444">
        <f>COUNTIF($C$12:C1051,"x")</f>
        <v>41</v>
      </c>
      <c r="B1051" s="1460" t="s">
        <v>1997</v>
      </c>
      <c r="C1051" s="966" t="str">
        <f t="shared" si="206"/>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8"/>
        <v>0</v>
      </c>
    </row>
    <row r="1052" spans="1:20" ht="22.2" hidden="1" customHeight="1">
      <c r="A1052" s="1444">
        <f>COUNTIF($C$12:C1052,"x")</f>
        <v>41</v>
      </c>
      <c r="B1052" s="1460" t="s">
        <v>635</v>
      </c>
      <c r="C1052" s="966" t="str">
        <f t="shared" si="206"/>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8"/>
        <v>0</v>
      </c>
    </row>
    <row r="1053" spans="1:20" ht="22.2" hidden="1" customHeight="1">
      <c r="A1053" s="1444">
        <f>COUNTIF($C$12:C1053,"x")</f>
        <v>41</v>
      </c>
      <c r="B1053" s="1448" t="s">
        <v>807</v>
      </c>
      <c r="C1053" s="966" t="str">
        <f t="shared" si="206"/>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2" hidden="1" customHeight="1">
      <c r="A1054" s="1444">
        <f>COUNTIF($C$12:C1054,"x")</f>
        <v>41</v>
      </c>
      <c r="B1054" s="1451" t="s">
        <v>109</v>
      </c>
      <c r="C1054" s="966" t="str">
        <f t="shared" si="206"/>
        <v xml:space="preserve"> </v>
      </c>
      <c r="D1054" s="1410">
        <f>9.02*(4.2+6*0.1)*2</f>
        <v>86.592000000000013</v>
      </c>
      <c r="E1054" s="976"/>
      <c r="F1054" s="988" t="str">
        <f>VLOOKUP($B1054,DG!A:D,DG!$C$2,)</f>
        <v>Sắt góc L75 x75 x8</v>
      </c>
      <c r="G1054" s="976" t="str">
        <f>VLOOKUP($B1054,DG!A:D,DG!$D$2,)</f>
        <v>kg</v>
      </c>
      <c r="H1054" s="1689">
        <f t="shared" ref="H1054:L1057" si="212">H$1053*$D1054</f>
        <v>0</v>
      </c>
      <c r="I1054" s="1689">
        <f t="shared" si="212"/>
        <v>0</v>
      </c>
      <c r="J1054" s="1689">
        <f t="shared" si="212"/>
        <v>0</v>
      </c>
      <c r="K1054" s="1689">
        <f t="shared" si="212"/>
        <v>0</v>
      </c>
      <c r="L1054" s="1689">
        <f t="shared" si="212"/>
        <v>0</v>
      </c>
      <c r="M1054" s="1689"/>
      <c r="N1054" s="1689"/>
      <c r="O1054" s="1689"/>
      <c r="P1054" s="1689"/>
      <c r="Q1054" s="985"/>
      <c r="R1054" s="985"/>
      <c r="S1054" s="985"/>
      <c r="T1054" s="1858">
        <f t="shared" si="208"/>
        <v>0</v>
      </c>
    </row>
    <row r="1055" spans="1:20" ht="22.2" hidden="1" customHeight="1">
      <c r="A1055" s="1444">
        <f>COUNTIF($C$12:C1055,"x")</f>
        <v>41</v>
      </c>
      <c r="B1055" s="1451" t="s">
        <v>279</v>
      </c>
      <c r="C1055" s="966" t="str">
        <f t="shared" si="206"/>
        <v xml:space="preserve"> </v>
      </c>
      <c r="D1055" s="1410">
        <f>2.826*0.92*8</f>
        <v>20.79936</v>
      </c>
      <c r="E1055" s="976"/>
      <c r="F1055" s="988" t="str">
        <f>VLOOKUP($B1055,DG!A:D,DG!$C$2,)</f>
        <v>Sắt dẹt 60 x 6</v>
      </c>
      <c r="G1055" s="976" t="str">
        <f>VLOOKUP($B1055,DG!A:D,DG!$D$2,)</f>
        <v>kg</v>
      </c>
      <c r="H1055" s="1689">
        <f t="shared" si="212"/>
        <v>0</v>
      </c>
      <c r="I1055" s="1689">
        <f t="shared" si="212"/>
        <v>0</v>
      </c>
      <c r="J1055" s="1689">
        <f t="shared" si="212"/>
        <v>0</v>
      </c>
      <c r="K1055" s="1689">
        <f t="shared" si="212"/>
        <v>0</v>
      </c>
      <c r="L1055" s="1689">
        <f t="shared" si="212"/>
        <v>0</v>
      </c>
      <c r="M1055" s="1689"/>
      <c r="N1055" s="1689"/>
      <c r="O1055" s="1689"/>
      <c r="P1055" s="1689"/>
      <c r="Q1055" s="985"/>
      <c r="R1055" s="985"/>
      <c r="S1055" s="985"/>
      <c r="T1055" s="1858">
        <f t="shared" si="208"/>
        <v>0</v>
      </c>
    </row>
    <row r="1056" spans="1:20" ht="22.2" hidden="1" customHeight="1">
      <c r="A1056" s="1444">
        <f>COUNTIF($C$12:C1056,"x")</f>
        <v>41</v>
      </c>
      <c r="B1056" s="1451" t="s">
        <v>1609</v>
      </c>
      <c r="C1056" s="966" t="str">
        <f t="shared" si="206"/>
        <v xml:space="preserve"> </v>
      </c>
      <c r="D1056" s="1411">
        <v>4</v>
      </c>
      <c r="E1056" s="976"/>
      <c r="F1056" s="988" t="str">
        <f>VLOOKUP($B1056,DG!A:D,DG!$C$2,)</f>
        <v>Boulon 16x250+ 2 long đền vuông D18-50x50x3/Zn</v>
      </c>
      <c r="G1056" s="976" t="str">
        <f>VLOOKUP($B1056,DG!A:D,DG!$D$2,)</f>
        <v>bộ</v>
      </c>
      <c r="H1056" s="1689">
        <f t="shared" si="212"/>
        <v>0</v>
      </c>
      <c r="I1056" s="1689">
        <f t="shared" si="212"/>
        <v>0</v>
      </c>
      <c r="J1056" s="1689">
        <f t="shared" si="212"/>
        <v>0</v>
      </c>
      <c r="K1056" s="1689">
        <f t="shared" si="212"/>
        <v>0</v>
      </c>
      <c r="L1056" s="1689">
        <f t="shared" si="212"/>
        <v>0</v>
      </c>
      <c r="M1056" s="1689"/>
      <c r="N1056" s="1689"/>
      <c r="O1056" s="1689"/>
      <c r="P1056" s="1689"/>
      <c r="Q1056" s="985"/>
      <c r="R1056" s="985"/>
      <c r="S1056" s="985"/>
      <c r="T1056" s="1858">
        <f t="shared" si="208"/>
        <v>0</v>
      </c>
    </row>
    <row r="1057" spans="1:20" ht="22.2" hidden="1" customHeight="1">
      <c r="A1057" s="1444">
        <f>COUNTIF($C$12:C1057,"x")</f>
        <v>41</v>
      </c>
      <c r="B1057" s="1451" t="s">
        <v>1784</v>
      </c>
      <c r="C1057" s="966" t="str">
        <f t="shared" si="206"/>
        <v xml:space="preserve"> </v>
      </c>
      <c r="D1057" s="1411">
        <v>6</v>
      </c>
      <c r="E1057" s="976"/>
      <c r="F1057" s="988" t="str">
        <f>VLOOKUP($B1057,DG!A:D,DG!$C$2,)</f>
        <v>Boulon 16x300VRS+ 4 long đền vuông D18-50x50x3/Zn</v>
      </c>
      <c r="G1057" s="976" t="str">
        <f>VLOOKUP($B1057,DG!A:D,DG!$D$2,)</f>
        <v>bộ</v>
      </c>
      <c r="H1057" s="1689">
        <f t="shared" si="212"/>
        <v>0</v>
      </c>
      <c r="I1057" s="1689">
        <f t="shared" si="212"/>
        <v>0</v>
      </c>
      <c r="J1057" s="1689">
        <f t="shared" si="212"/>
        <v>0</v>
      </c>
      <c r="K1057" s="1689">
        <f t="shared" si="212"/>
        <v>0</v>
      </c>
      <c r="L1057" s="1689">
        <f t="shared" si="212"/>
        <v>0</v>
      </c>
      <c r="M1057" s="1689"/>
      <c r="N1057" s="1689"/>
      <c r="O1057" s="1689"/>
      <c r="P1057" s="1689"/>
      <c r="Q1057" s="985"/>
      <c r="R1057" s="985"/>
      <c r="S1057" s="985"/>
      <c r="T1057" s="1858">
        <f t="shared" si="208"/>
        <v>0</v>
      </c>
    </row>
    <row r="1058" spans="1:20" ht="22.2" hidden="1" customHeight="1">
      <c r="A1058" s="1444">
        <f>COUNTIF($C$12:C1058,"x")</f>
        <v>41</v>
      </c>
      <c r="B1058" s="1451" t="s">
        <v>2242</v>
      </c>
      <c r="C1058" s="966" t="str">
        <f t="shared" si="206"/>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8"/>
        <v>0</v>
      </c>
    </row>
    <row r="1059" spans="1:20" ht="22.2" hidden="1" customHeight="1">
      <c r="A1059" s="1444">
        <f>COUNTIF($C$12:C1059,"x")</f>
        <v>41</v>
      </c>
      <c r="B1059" s="1451" t="s">
        <v>1996</v>
      </c>
      <c r="C1059" s="966" t="str">
        <f t="shared" si="206"/>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8"/>
        <v>0</v>
      </c>
    </row>
    <row r="1060" spans="1:20" ht="22.2" hidden="1" customHeight="1">
      <c r="A1060" s="1444">
        <f>COUNTIF($C$12:C1060,"x")</f>
        <v>41</v>
      </c>
      <c r="B1060" s="1460" t="s">
        <v>1997</v>
      </c>
      <c r="C1060" s="966" t="str">
        <f t="shared" si="206"/>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8"/>
        <v>0</v>
      </c>
    </row>
    <row r="1061" spans="1:20" ht="22.2" hidden="1" customHeight="1">
      <c r="A1061" s="1444">
        <f>COUNTIF($C$12:C1061,"x")</f>
        <v>41</v>
      </c>
      <c r="B1061" s="1460" t="s">
        <v>635</v>
      </c>
      <c r="C1061" s="966" t="str">
        <f t="shared" si="206"/>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8"/>
        <v>0</v>
      </c>
    </row>
    <row r="1062" spans="1:20" ht="22.2" hidden="1" customHeight="1">
      <c r="A1062" s="1444">
        <f>COUNTIF($C$12:C1062,"x")</f>
        <v>41</v>
      </c>
      <c r="B1062" s="1448" t="s">
        <v>1868</v>
      </c>
      <c r="C1062" s="966" t="str">
        <f t="shared" si="206"/>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2" hidden="1" customHeight="1">
      <c r="A1063" s="1444">
        <f>COUNTIF($C$12:C1063,"x")</f>
        <v>41</v>
      </c>
      <c r="B1063" s="1451" t="s">
        <v>109</v>
      </c>
      <c r="C1063" s="966" t="str">
        <f t="shared" si="206"/>
        <v xml:space="preserve"> </v>
      </c>
      <c r="D1063" s="1410">
        <f>9.02*(2.4+4*0.1)*2</f>
        <v>50.511999999999993</v>
      </c>
      <c r="E1063" s="976"/>
      <c r="F1063" s="988" t="str">
        <f>VLOOKUP($B1063,DG!A:D,DG!$C$2,)</f>
        <v>Sắt góc L75 x75 x8</v>
      </c>
      <c r="G1063" s="976" t="str">
        <f>VLOOKUP($B1063,DG!A:D,DG!$D$2,)</f>
        <v>kg</v>
      </c>
      <c r="H1063" s="1689">
        <f t="shared" ref="H1063:L1067" si="213">H$1062*$D1063</f>
        <v>0</v>
      </c>
      <c r="I1063" s="1689">
        <f t="shared" si="213"/>
        <v>0</v>
      </c>
      <c r="J1063" s="1689">
        <f t="shared" si="213"/>
        <v>0</v>
      </c>
      <c r="K1063" s="1689">
        <f t="shared" si="213"/>
        <v>0</v>
      </c>
      <c r="L1063" s="1689">
        <f t="shared" si="213"/>
        <v>0</v>
      </c>
      <c r="M1063" s="1689"/>
      <c r="N1063" s="1689"/>
      <c r="O1063" s="1689"/>
      <c r="P1063" s="1689"/>
      <c r="Q1063" s="985"/>
      <c r="R1063" s="985"/>
      <c r="S1063" s="985"/>
      <c r="T1063" s="1858">
        <f t="shared" si="208"/>
        <v>0</v>
      </c>
    </row>
    <row r="1064" spans="1:20" ht="22.2" hidden="1" customHeight="1">
      <c r="A1064" s="1444">
        <f>COUNTIF($C$12:C1064,"x")</f>
        <v>41</v>
      </c>
      <c r="B1064" s="1451" t="s">
        <v>1567</v>
      </c>
      <c r="C1064" s="966" t="str">
        <f t="shared" si="206"/>
        <v xml:space="preserve"> </v>
      </c>
      <c r="D1064" s="1410">
        <f>3.77*0.81*4</f>
        <v>12.2148</v>
      </c>
      <c r="E1064" s="976"/>
      <c r="F1064" s="988" t="str">
        <f>VLOOKUP($B1064,DG!A:D,DG!$C$2,)</f>
        <v>Sắt góc L50 x50 x5</v>
      </c>
      <c r="G1064" s="976" t="str">
        <f>VLOOKUP($B1064,DG!A:D,DG!$D$2,)</f>
        <v>kg</v>
      </c>
      <c r="H1064" s="1689">
        <f t="shared" si="213"/>
        <v>0</v>
      </c>
      <c r="I1064" s="1689">
        <f t="shared" si="213"/>
        <v>0</v>
      </c>
      <c r="J1064" s="1689">
        <f t="shared" si="213"/>
        <v>0</v>
      </c>
      <c r="K1064" s="1689">
        <f t="shared" si="213"/>
        <v>0</v>
      </c>
      <c r="L1064" s="1689">
        <f t="shared" si="213"/>
        <v>0</v>
      </c>
      <c r="M1064" s="1689"/>
      <c r="N1064" s="1689"/>
      <c r="O1064" s="1689"/>
      <c r="P1064" s="1689"/>
      <c r="Q1064" s="985"/>
      <c r="R1064" s="985"/>
      <c r="S1064" s="985"/>
      <c r="T1064" s="1858">
        <f t="shared" si="208"/>
        <v>0</v>
      </c>
    </row>
    <row r="1065" spans="1:20" ht="22.2" hidden="1" customHeight="1">
      <c r="A1065" s="1444">
        <f>COUNTIF($C$12:C1065,"x")</f>
        <v>41</v>
      </c>
      <c r="B1065" s="1451" t="s">
        <v>1609</v>
      </c>
      <c r="C1065" s="966" t="str">
        <f t="shared" si="206"/>
        <v xml:space="preserve"> </v>
      </c>
      <c r="D1065" s="1411">
        <v>4</v>
      </c>
      <c r="E1065" s="976"/>
      <c r="F1065" s="988" t="str">
        <f>VLOOKUP($B1065,DG!A:D,DG!$C$2,)</f>
        <v>Boulon 16x250+ 2 long đền vuông D18-50x50x3/Zn</v>
      </c>
      <c r="G1065" s="976" t="str">
        <f>VLOOKUP($B1065,DG!A:D,DG!$D$2,)</f>
        <v>bộ</v>
      </c>
      <c r="H1065" s="1689">
        <f t="shared" si="213"/>
        <v>0</v>
      </c>
      <c r="I1065" s="1689">
        <f t="shared" si="213"/>
        <v>0</v>
      </c>
      <c r="J1065" s="1689">
        <f t="shared" si="213"/>
        <v>0</v>
      </c>
      <c r="K1065" s="1689">
        <f t="shared" si="213"/>
        <v>0</v>
      </c>
      <c r="L1065" s="1689">
        <f t="shared" si="213"/>
        <v>0</v>
      </c>
      <c r="M1065" s="1689"/>
      <c r="N1065" s="1689"/>
      <c r="O1065" s="1689"/>
      <c r="P1065" s="1689"/>
      <c r="Q1065" s="985"/>
      <c r="R1065" s="985"/>
      <c r="S1065" s="985"/>
      <c r="T1065" s="1858">
        <f t="shared" si="208"/>
        <v>0</v>
      </c>
    </row>
    <row r="1066" spans="1:20" ht="22.2" hidden="1" customHeight="1">
      <c r="A1066" s="1444">
        <f>COUNTIF($C$12:C1066,"x")</f>
        <v>41</v>
      </c>
      <c r="B1066" s="1451" t="s">
        <v>1784</v>
      </c>
      <c r="C1066" s="966" t="str">
        <f t="shared" si="206"/>
        <v xml:space="preserve"> </v>
      </c>
      <c r="D1066" s="1411">
        <v>2</v>
      </c>
      <c r="E1066" s="976"/>
      <c r="F1066" s="988" t="str">
        <f>VLOOKUP($B1066,DG!A:D,DG!$C$2,)</f>
        <v>Boulon 16x300VRS+ 4 long đền vuông D18-50x50x3/Zn</v>
      </c>
      <c r="G1066" s="976" t="str">
        <f>VLOOKUP($B1066,DG!A:D,DG!$D$2,)</f>
        <v>bộ</v>
      </c>
      <c r="H1066" s="1689">
        <f t="shared" si="213"/>
        <v>0</v>
      </c>
      <c r="I1066" s="1689">
        <f t="shared" si="213"/>
        <v>0</v>
      </c>
      <c r="J1066" s="1689">
        <f t="shared" si="213"/>
        <v>0</v>
      </c>
      <c r="K1066" s="1689">
        <f t="shared" si="213"/>
        <v>0</v>
      </c>
      <c r="L1066" s="1689">
        <f t="shared" si="213"/>
        <v>0</v>
      </c>
      <c r="M1066" s="1689"/>
      <c r="N1066" s="1689"/>
      <c r="O1066" s="1689"/>
      <c r="P1066" s="1689"/>
      <c r="Q1066" s="985"/>
      <c r="R1066" s="985"/>
      <c r="S1066" s="985"/>
      <c r="T1066" s="1858">
        <f t="shared" si="208"/>
        <v>0</v>
      </c>
    </row>
    <row r="1067" spans="1:20" ht="22.2" hidden="1" customHeight="1">
      <c r="A1067" s="1444">
        <f>COUNTIF($C$12:C1067,"x")</f>
        <v>41</v>
      </c>
      <c r="B1067" s="1451" t="s">
        <v>1786</v>
      </c>
      <c r="C1067" s="966" t="str">
        <f t="shared" si="206"/>
        <v xml:space="preserve"> </v>
      </c>
      <c r="D1067" s="1411">
        <v>4</v>
      </c>
      <c r="E1067" s="976"/>
      <c r="F1067" s="988" t="str">
        <f>VLOOKUP($B1067,DG!A:D,DG!$C$2,)</f>
        <v>Boulon 16x50+ 2 long đền vuông D18-50x50x3/Zn</v>
      </c>
      <c r="G1067" s="976" t="str">
        <f>VLOOKUP($B1067,DG!A:D,DG!$D$2,)</f>
        <v>bộ</v>
      </c>
      <c r="H1067" s="1689">
        <f t="shared" si="213"/>
        <v>0</v>
      </c>
      <c r="I1067" s="1689">
        <f t="shared" si="213"/>
        <v>0</v>
      </c>
      <c r="J1067" s="1689">
        <f t="shared" si="213"/>
        <v>0</v>
      </c>
      <c r="K1067" s="1689">
        <f t="shared" si="213"/>
        <v>0</v>
      </c>
      <c r="L1067" s="1689">
        <f t="shared" si="213"/>
        <v>0</v>
      </c>
      <c r="M1067" s="1689"/>
      <c r="N1067" s="1689"/>
      <c r="O1067" s="1689"/>
      <c r="P1067" s="1689"/>
      <c r="Q1067" s="985"/>
      <c r="R1067" s="985"/>
      <c r="S1067" s="985"/>
      <c r="T1067" s="1858">
        <f t="shared" si="208"/>
        <v>0</v>
      </c>
    </row>
    <row r="1068" spans="1:20" ht="22.2" hidden="1" customHeight="1">
      <c r="A1068" s="1444">
        <f>COUNTIF($C$12:C1068,"x")</f>
        <v>41</v>
      </c>
      <c r="B1068" s="1451" t="s">
        <v>2242</v>
      </c>
      <c r="C1068" s="966" t="str">
        <f t="shared" si="206"/>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8"/>
        <v>0</v>
      </c>
    </row>
    <row r="1069" spans="1:20" ht="22.2" hidden="1" customHeight="1">
      <c r="A1069" s="1444">
        <f>COUNTIF($C$12:C1069,"x")</f>
        <v>41</v>
      </c>
      <c r="B1069" s="1451" t="s">
        <v>1996</v>
      </c>
      <c r="C1069" s="966" t="str">
        <f t="shared" si="206"/>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8"/>
        <v>0</v>
      </c>
    </row>
    <row r="1070" spans="1:20" ht="22.2" hidden="1" customHeight="1">
      <c r="A1070" s="1444">
        <f>COUNTIF($C$12:C1070,"x")</f>
        <v>41</v>
      </c>
      <c r="B1070" s="1460" t="s">
        <v>1997</v>
      </c>
      <c r="C1070" s="966" t="str">
        <f t="shared" si="206"/>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8"/>
        <v>0</v>
      </c>
    </row>
    <row r="1071" spans="1:20" ht="22.2" hidden="1" customHeight="1">
      <c r="A1071" s="1444">
        <f>COUNTIF($C$12:C1071,"x")</f>
        <v>41</v>
      </c>
      <c r="B1071" s="1460" t="s">
        <v>635</v>
      </c>
      <c r="C1071" s="966" t="str">
        <f t="shared" si="206"/>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8"/>
        <v>0</v>
      </c>
    </row>
    <row r="1072" spans="1:20" ht="22.2" hidden="1" customHeight="1">
      <c r="A1072" s="1444">
        <f>COUNTIF($C$12:C1072,"x")</f>
        <v>41</v>
      </c>
      <c r="B1072" s="1448" t="s">
        <v>806</v>
      </c>
      <c r="C1072" s="966" t="str">
        <f t="shared" si="206"/>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2" hidden="1" customHeight="1">
      <c r="A1073" s="1444">
        <f>COUNTIF($C$12:C1073,"x")</f>
        <v>41</v>
      </c>
      <c r="B1073" s="1451" t="s">
        <v>109</v>
      </c>
      <c r="C1073" s="966" t="str">
        <f t="shared" si="206"/>
        <v xml:space="preserve"> </v>
      </c>
      <c r="D1073" s="1410">
        <f>9.02*2*2</f>
        <v>36.08</v>
      </c>
      <c r="E1073" s="976"/>
      <c r="F1073" s="988" t="str">
        <f>VLOOKUP($B1073,DG!A:D,DG!$C$2,)</f>
        <v>Sắt góc L75 x75 x8</v>
      </c>
      <c r="G1073" s="976" t="str">
        <f>VLOOKUP($B1073,DG!A:D,DG!$D$2,)</f>
        <v>kg</v>
      </c>
      <c r="H1073" s="1689">
        <f t="shared" ref="H1073:L1077" si="214">H$1072*$D1073</f>
        <v>0</v>
      </c>
      <c r="I1073" s="1689">
        <f t="shared" si="214"/>
        <v>0</v>
      </c>
      <c r="J1073" s="1689">
        <f t="shared" si="214"/>
        <v>0</v>
      </c>
      <c r="K1073" s="1689">
        <f t="shared" si="214"/>
        <v>0</v>
      </c>
      <c r="L1073" s="1689">
        <f t="shared" si="214"/>
        <v>0</v>
      </c>
      <c r="M1073" s="1689"/>
      <c r="N1073" s="1689"/>
      <c r="O1073" s="1689"/>
      <c r="P1073" s="1689"/>
      <c r="Q1073" s="985"/>
      <c r="R1073" s="985"/>
      <c r="S1073" s="985"/>
      <c r="T1073" s="1858">
        <f t="shared" si="208"/>
        <v>0</v>
      </c>
    </row>
    <row r="1074" spans="1:20" ht="22.2" hidden="1" customHeight="1">
      <c r="A1074" s="1444">
        <f>COUNTIF($C$12:C1074,"x")</f>
        <v>41</v>
      </c>
      <c r="B1074" s="1451" t="s">
        <v>1738</v>
      </c>
      <c r="C1074" s="966" t="str">
        <f t="shared" si="206"/>
        <v xml:space="preserve"> </v>
      </c>
      <c r="D1074" s="1410">
        <v>2</v>
      </c>
      <c r="E1074" s="976"/>
      <c r="F1074" s="988" t="str">
        <f>VLOOKUP($B1074,DG!A:D,DG!$C$2,)</f>
        <v>Cổ dê  Ø 240-Fe 8x100</v>
      </c>
      <c r="G1074" s="976" t="str">
        <f>VLOOKUP($B1074,DG!A:D,DG!$D$2,)</f>
        <v>bộ</v>
      </c>
      <c r="H1074" s="1689">
        <f t="shared" si="214"/>
        <v>0</v>
      </c>
      <c r="I1074" s="1689">
        <f t="shared" si="214"/>
        <v>0</v>
      </c>
      <c r="J1074" s="1689">
        <f t="shared" si="214"/>
        <v>0</v>
      </c>
      <c r="K1074" s="1689">
        <f t="shared" si="214"/>
        <v>0</v>
      </c>
      <c r="L1074" s="1689">
        <f t="shared" si="214"/>
        <v>0</v>
      </c>
      <c r="M1074" s="1689"/>
      <c r="N1074" s="1689"/>
      <c r="O1074" s="1689"/>
      <c r="P1074" s="1689"/>
      <c r="Q1074" s="985"/>
      <c r="R1074" s="985"/>
      <c r="S1074" s="985"/>
      <c r="T1074" s="1858">
        <f t="shared" si="208"/>
        <v>0</v>
      </c>
    </row>
    <row r="1075" spans="1:20" ht="22.2" hidden="1" customHeight="1">
      <c r="A1075" s="1444">
        <f>COUNTIF($C$12:C1075,"x")</f>
        <v>41</v>
      </c>
      <c r="B1075" s="1451" t="s">
        <v>801</v>
      </c>
      <c r="C1075" s="966" t="str">
        <f t="shared" si="206"/>
        <v xml:space="preserve"> </v>
      </c>
      <c r="D1075" s="1410">
        <v>2</v>
      </c>
      <c r="E1075" s="976"/>
      <c r="F1075" s="988" t="str">
        <f>VLOOKUP($B1075,DG!A:D,DG!$C$2,)</f>
        <v>Cổ dê Ø 250-Fe 8x100</v>
      </c>
      <c r="G1075" s="976" t="str">
        <f>VLOOKUP($B1075,DG!A:D,DG!$D$2,)</f>
        <v>bộ</v>
      </c>
      <c r="H1075" s="1689">
        <f t="shared" si="214"/>
        <v>0</v>
      </c>
      <c r="I1075" s="1689">
        <f t="shared" si="214"/>
        <v>0</v>
      </c>
      <c r="J1075" s="1689">
        <f t="shared" si="214"/>
        <v>0</v>
      </c>
      <c r="K1075" s="1689">
        <f t="shared" si="214"/>
        <v>0</v>
      </c>
      <c r="L1075" s="1689">
        <f t="shared" si="214"/>
        <v>0</v>
      </c>
      <c r="M1075" s="1689"/>
      <c r="N1075" s="1689"/>
      <c r="O1075" s="1689"/>
      <c r="P1075" s="1689"/>
      <c r="Q1075" s="985"/>
      <c r="R1075" s="985"/>
      <c r="S1075" s="985"/>
      <c r="T1075" s="1858">
        <f t="shared" si="208"/>
        <v>0</v>
      </c>
    </row>
    <row r="1076" spans="1:20" ht="22.2" hidden="1" customHeight="1">
      <c r="A1076" s="1444">
        <f>COUNTIF($C$12:C1076,"x")</f>
        <v>41</v>
      </c>
      <c r="B1076" s="1451" t="s">
        <v>1786</v>
      </c>
      <c r="C1076" s="966" t="str">
        <f t="shared" si="206"/>
        <v xml:space="preserve"> </v>
      </c>
      <c r="D1076" s="1411">
        <v>1</v>
      </c>
      <c r="E1076" s="976"/>
      <c r="F1076" s="988" t="str">
        <f>VLOOKUP($B1076,DG!A:D,DG!$C$2,)</f>
        <v>Boulon 16x50+ 2 long đền vuông D18-50x50x3/Zn</v>
      </c>
      <c r="G1076" s="976" t="str">
        <f>VLOOKUP($B1076,DG!A:D,DG!$D$2,)</f>
        <v>bộ</v>
      </c>
      <c r="H1076" s="1689">
        <f t="shared" si="214"/>
        <v>0</v>
      </c>
      <c r="I1076" s="1689">
        <f t="shared" si="214"/>
        <v>0</v>
      </c>
      <c r="J1076" s="1689">
        <f t="shared" si="214"/>
        <v>0</v>
      </c>
      <c r="K1076" s="1689">
        <f t="shared" si="214"/>
        <v>0</v>
      </c>
      <c r="L1076" s="1689">
        <f t="shared" si="214"/>
        <v>0</v>
      </c>
      <c r="M1076" s="1689"/>
      <c r="N1076" s="1689"/>
      <c r="O1076" s="1689"/>
      <c r="P1076" s="1689"/>
      <c r="Q1076" s="985"/>
      <c r="R1076" s="985"/>
      <c r="S1076" s="985"/>
      <c r="T1076" s="1858">
        <f t="shared" si="208"/>
        <v>0</v>
      </c>
    </row>
    <row r="1077" spans="1:20" ht="22.2" hidden="1" customHeight="1">
      <c r="A1077" s="1444">
        <f>COUNTIF($C$12:C1077,"x")</f>
        <v>41</v>
      </c>
      <c r="B1077" s="1451" t="s">
        <v>802</v>
      </c>
      <c r="C1077" s="966" t="str">
        <f t="shared" si="206"/>
        <v xml:space="preserve"> </v>
      </c>
      <c r="D1077" s="1411">
        <v>8</v>
      </c>
      <c r="E1077" s="976"/>
      <c r="F1077" s="988" t="str">
        <f>VLOOKUP($B1077,DG!A:D,DG!$C$2,)</f>
        <v>Boulon 16x100+ 2 long đền vuông D18-50x50x3/Zn</v>
      </c>
      <c r="G1077" s="976" t="str">
        <f>VLOOKUP($B1077,DG!A:D,DG!$D$2,)</f>
        <v>bộ</v>
      </c>
      <c r="H1077" s="1689">
        <f t="shared" si="214"/>
        <v>0</v>
      </c>
      <c r="I1077" s="1689">
        <f t="shared" si="214"/>
        <v>0</v>
      </c>
      <c r="J1077" s="1689">
        <f t="shared" si="214"/>
        <v>0</v>
      </c>
      <c r="K1077" s="1689">
        <f t="shared" si="214"/>
        <v>0</v>
      </c>
      <c r="L1077" s="1689">
        <f t="shared" si="214"/>
        <v>0</v>
      </c>
      <c r="M1077" s="1689"/>
      <c r="N1077" s="1689"/>
      <c r="O1077" s="1689"/>
      <c r="P1077" s="1689"/>
      <c r="Q1077" s="985"/>
      <c r="R1077" s="985"/>
      <c r="S1077" s="985"/>
      <c r="T1077" s="1858">
        <f t="shared" si="208"/>
        <v>0</v>
      </c>
    </row>
    <row r="1078" spans="1:20" ht="22.2" hidden="1" customHeight="1">
      <c r="A1078" s="1444">
        <f>COUNTIF($C$12:C1078,"x")</f>
        <v>41</v>
      </c>
      <c r="B1078" s="1451" t="s">
        <v>2242</v>
      </c>
      <c r="C1078" s="966" t="str">
        <f t="shared" ref="C1078:C1156" si="215">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8"/>
        <v>0</v>
      </c>
    </row>
    <row r="1079" spans="1:20" ht="22.2" hidden="1" customHeight="1">
      <c r="A1079" s="1444">
        <f>COUNTIF($C$12:C1079,"x")</f>
        <v>41</v>
      </c>
      <c r="B1079" s="1451" t="s">
        <v>1996</v>
      </c>
      <c r="C1079" s="966" t="str">
        <f t="shared" si="215"/>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8"/>
        <v>0</v>
      </c>
    </row>
    <row r="1080" spans="1:20" ht="22.2" hidden="1" customHeight="1">
      <c r="A1080" s="1444">
        <f>COUNTIF($C$12:C1080,"x")</f>
        <v>41</v>
      </c>
      <c r="B1080" s="1460" t="s">
        <v>1997</v>
      </c>
      <c r="C1080" s="966" t="str">
        <f t="shared" si="215"/>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8"/>
        <v>0</v>
      </c>
    </row>
    <row r="1081" spans="1:20" ht="22.2" hidden="1" customHeight="1">
      <c r="A1081" s="1444">
        <f>COUNTIF($C$12:C1081,"x")</f>
        <v>41</v>
      </c>
      <c r="B1081" s="1460" t="s">
        <v>635</v>
      </c>
      <c r="C1081" s="966" t="str">
        <f t="shared" si="215"/>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8"/>
        <v>0</v>
      </c>
    </row>
    <row r="1082" spans="1:20" ht="22.2" hidden="1" customHeight="1">
      <c r="A1082" s="1444">
        <f>COUNTIF($C$12:C1082,"x")</f>
        <v>41</v>
      </c>
      <c r="B1082" s="1448" t="s">
        <v>805</v>
      </c>
      <c r="C1082" s="966" t="str">
        <f t="shared" si="215"/>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2" hidden="1" customHeight="1">
      <c r="A1083" s="1444">
        <f>COUNTIF($C$12:C1083,"x")</f>
        <v>41</v>
      </c>
      <c r="B1083" s="1451" t="s">
        <v>109</v>
      </c>
      <c r="C1083" s="966" t="str">
        <f t="shared" si="215"/>
        <v xml:space="preserve"> </v>
      </c>
      <c r="D1083" s="1410">
        <f>9.02*2.3*2</f>
        <v>41.491999999999997</v>
      </c>
      <c r="E1083" s="976"/>
      <c r="F1083" s="988" t="str">
        <f>VLOOKUP($B1083,DG!A:D,DG!$C$2,)</f>
        <v>Sắt góc L75 x75 x8</v>
      </c>
      <c r="G1083" s="976" t="str">
        <f>VLOOKUP($B1083,DG!A:D,DG!$D$2,)</f>
        <v>kg</v>
      </c>
      <c r="H1083" s="1689">
        <f t="shared" ref="H1083:L1087" si="216">H$1082*$D1083</f>
        <v>0</v>
      </c>
      <c r="I1083" s="1689">
        <f t="shared" si="216"/>
        <v>0</v>
      </c>
      <c r="J1083" s="1689">
        <f t="shared" si="216"/>
        <v>0</v>
      </c>
      <c r="K1083" s="1689">
        <f t="shared" si="216"/>
        <v>0</v>
      </c>
      <c r="L1083" s="1689">
        <f t="shared" si="216"/>
        <v>0</v>
      </c>
      <c r="M1083" s="1689"/>
      <c r="N1083" s="1689"/>
      <c r="O1083" s="1689"/>
      <c r="P1083" s="1689"/>
      <c r="Q1083" s="985"/>
      <c r="R1083" s="985"/>
      <c r="S1083" s="985"/>
      <c r="T1083" s="1858">
        <f t="shared" si="208"/>
        <v>0</v>
      </c>
    </row>
    <row r="1084" spans="1:20" ht="22.2" hidden="1" customHeight="1">
      <c r="A1084" s="1444">
        <f>COUNTIF($C$12:C1084,"x")</f>
        <v>41</v>
      </c>
      <c r="B1084" s="1451" t="s">
        <v>2226</v>
      </c>
      <c r="C1084" s="966" t="str">
        <f t="shared" si="215"/>
        <v xml:space="preserve"> </v>
      </c>
      <c r="D1084" s="1410">
        <v>3.5</v>
      </c>
      <c r="E1084" s="976"/>
      <c r="F1084" s="988" t="str">
        <f>VLOOKUP($B1084,DG!A:D,DG!$C$2,)</f>
        <v>Ê KE 5x300x300\Zn</v>
      </c>
      <c r="G1084" s="976" t="str">
        <f>VLOOKUP($B1084,DG!A:D,DG!$D$2,)</f>
        <v>kg</v>
      </c>
      <c r="H1084" s="1689">
        <f t="shared" si="216"/>
        <v>0</v>
      </c>
      <c r="I1084" s="1689">
        <f t="shared" si="216"/>
        <v>0</v>
      </c>
      <c r="J1084" s="1689">
        <f t="shared" si="216"/>
        <v>0</v>
      </c>
      <c r="K1084" s="1689">
        <f t="shared" si="216"/>
        <v>0</v>
      </c>
      <c r="L1084" s="1689">
        <f t="shared" si="216"/>
        <v>0</v>
      </c>
      <c r="M1084" s="1689"/>
      <c r="N1084" s="1689"/>
      <c r="O1084" s="1689"/>
      <c r="P1084" s="1689"/>
      <c r="Q1084" s="985"/>
      <c r="R1084" s="985"/>
      <c r="S1084" s="985"/>
      <c r="T1084" s="1858">
        <f t="shared" ref="T1084:T1148" si="217">IFERROR(HLOOKUP(B1084,BangKeTru,3,0),0)</f>
        <v>0</v>
      </c>
    </row>
    <row r="1085" spans="1:20" ht="22.2" hidden="1" customHeight="1">
      <c r="A1085" s="1444">
        <f>COUNTIF($C$12:C1085,"x")</f>
        <v>41</v>
      </c>
      <c r="B1085" s="1451" t="s">
        <v>801</v>
      </c>
      <c r="C1085" s="966" t="str">
        <f t="shared" si="215"/>
        <v xml:space="preserve"> </v>
      </c>
      <c r="D1085" s="1411">
        <v>4</v>
      </c>
      <c r="E1085" s="976"/>
      <c r="F1085" s="988" t="str">
        <f>VLOOKUP($B1085,DG!A:D,DG!$C$2,)</f>
        <v>Cổ dê Ø 250-Fe 8x100</v>
      </c>
      <c r="G1085" s="976" t="str">
        <f>VLOOKUP($B1085,DG!A:D,DG!$D$2,)</f>
        <v>bộ</v>
      </c>
      <c r="H1085" s="1689">
        <f t="shared" si="216"/>
        <v>0</v>
      </c>
      <c r="I1085" s="1689">
        <f t="shared" si="216"/>
        <v>0</v>
      </c>
      <c r="J1085" s="1689">
        <f t="shared" si="216"/>
        <v>0</v>
      </c>
      <c r="K1085" s="1689">
        <f t="shared" si="216"/>
        <v>0</v>
      </c>
      <c r="L1085" s="1689">
        <f t="shared" si="216"/>
        <v>0</v>
      </c>
      <c r="M1085" s="1689"/>
      <c r="N1085" s="1689"/>
      <c r="O1085" s="1689"/>
      <c r="P1085" s="1689"/>
      <c r="Q1085" s="985"/>
      <c r="R1085" s="985"/>
      <c r="S1085" s="985"/>
      <c r="T1085" s="1858">
        <f t="shared" si="217"/>
        <v>0</v>
      </c>
    </row>
    <row r="1086" spans="1:20" ht="22.2" hidden="1" customHeight="1">
      <c r="A1086" s="1444">
        <f>COUNTIF($C$12:C1086,"x")</f>
        <v>41</v>
      </c>
      <c r="B1086" s="1451" t="s">
        <v>1786</v>
      </c>
      <c r="C1086" s="966" t="str">
        <f t="shared" si="215"/>
        <v xml:space="preserve"> </v>
      </c>
      <c r="D1086" s="1411">
        <v>5</v>
      </c>
      <c r="E1086" s="976"/>
      <c r="F1086" s="988" t="str">
        <f>VLOOKUP($B1086,DG!A:D,DG!$C$2,)</f>
        <v>Boulon 16x50+ 2 long đền vuông D18-50x50x3/Zn</v>
      </c>
      <c r="G1086" s="976" t="str">
        <f>VLOOKUP($B1086,DG!A:D,DG!$D$2,)</f>
        <v>bộ</v>
      </c>
      <c r="H1086" s="1689">
        <f t="shared" si="216"/>
        <v>0</v>
      </c>
      <c r="I1086" s="1689">
        <f t="shared" si="216"/>
        <v>0</v>
      </c>
      <c r="J1086" s="1689">
        <f t="shared" si="216"/>
        <v>0</v>
      </c>
      <c r="K1086" s="1689">
        <f t="shared" si="216"/>
        <v>0</v>
      </c>
      <c r="L1086" s="1689">
        <f t="shared" si="216"/>
        <v>0</v>
      </c>
      <c r="M1086" s="1689"/>
      <c r="N1086" s="1689"/>
      <c r="O1086" s="1689"/>
      <c r="P1086" s="1689"/>
      <c r="Q1086" s="985"/>
      <c r="R1086" s="985"/>
      <c r="S1086" s="985"/>
      <c r="T1086" s="1858">
        <f t="shared" si="217"/>
        <v>0</v>
      </c>
    </row>
    <row r="1087" spans="1:20" ht="22.2" hidden="1" customHeight="1">
      <c r="A1087" s="1444">
        <f>COUNTIF($C$12:C1087,"x")</f>
        <v>41</v>
      </c>
      <c r="B1087" s="1451" t="s">
        <v>802</v>
      </c>
      <c r="C1087" s="966" t="str">
        <f t="shared" si="215"/>
        <v xml:space="preserve"> </v>
      </c>
      <c r="D1087" s="1411">
        <v>8</v>
      </c>
      <c r="E1087" s="976"/>
      <c r="F1087" s="988" t="str">
        <f>VLOOKUP($B1087,DG!A:D,DG!$C$2,)</f>
        <v>Boulon 16x100+ 2 long đền vuông D18-50x50x3/Zn</v>
      </c>
      <c r="G1087" s="976" t="str">
        <f>VLOOKUP($B1087,DG!A:D,DG!$D$2,)</f>
        <v>bộ</v>
      </c>
      <c r="H1087" s="1689">
        <f t="shared" si="216"/>
        <v>0</v>
      </c>
      <c r="I1087" s="1689">
        <f t="shared" si="216"/>
        <v>0</v>
      </c>
      <c r="J1087" s="1689">
        <f t="shared" si="216"/>
        <v>0</v>
      </c>
      <c r="K1087" s="1689">
        <f t="shared" si="216"/>
        <v>0</v>
      </c>
      <c r="L1087" s="1689">
        <f t="shared" si="216"/>
        <v>0</v>
      </c>
      <c r="M1087" s="1689"/>
      <c r="N1087" s="1689"/>
      <c r="O1087" s="1689"/>
      <c r="P1087" s="1689"/>
      <c r="Q1087" s="985"/>
      <c r="R1087" s="985"/>
      <c r="S1087" s="985"/>
      <c r="T1087" s="1858">
        <f t="shared" si="217"/>
        <v>0</v>
      </c>
    </row>
    <row r="1088" spans="1:20" ht="22.2" hidden="1" customHeight="1">
      <c r="A1088" s="1444">
        <f>COUNTIF($C$12:C1088,"x")</f>
        <v>41</v>
      </c>
      <c r="B1088" s="1451" t="s">
        <v>2242</v>
      </c>
      <c r="C1088" s="966" t="str">
        <f t="shared" si="215"/>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7"/>
        <v>0</v>
      </c>
    </row>
    <row r="1089" spans="1:20" ht="22.2" hidden="1" customHeight="1">
      <c r="A1089" s="1444">
        <f>COUNTIF($C$12:C1089,"x")</f>
        <v>41</v>
      </c>
      <c r="B1089" s="1451" t="s">
        <v>1996</v>
      </c>
      <c r="C1089" s="966" t="str">
        <f t="shared" si="215"/>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7"/>
        <v>0</v>
      </c>
    </row>
    <row r="1090" spans="1:20" ht="22.2" hidden="1" customHeight="1">
      <c r="A1090" s="1444">
        <f>COUNTIF($C$12:C1090,"x")</f>
        <v>41</v>
      </c>
      <c r="B1090" s="1460" t="s">
        <v>1997</v>
      </c>
      <c r="C1090" s="966" t="str">
        <f t="shared" si="215"/>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7"/>
        <v>0</v>
      </c>
    </row>
    <row r="1091" spans="1:20" ht="22.2" hidden="1" customHeight="1">
      <c r="A1091" s="1444">
        <f>COUNTIF($C$12:C1091,"x")</f>
        <v>41</v>
      </c>
      <c r="B1091" s="1460" t="s">
        <v>635</v>
      </c>
      <c r="C1091" s="966" t="str">
        <f t="shared" si="215"/>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7"/>
        <v>0</v>
      </c>
    </row>
    <row r="1092" spans="1:20" ht="22.2" hidden="1" customHeight="1">
      <c r="A1092" s="1444">
        <f>COUNTIF($C$12:C1092,"x")</f>
        <v>41</v>
      </c>
      <c r="B1092" s="1448" t="s">
        <v>1566</v>
      </c>
      <c r="C1092" s="966" t="str">
        <f t="shared" si="215"/>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2" hidden="1" customHeight="1">
      <c r="A1093" s="1444">
        <f>COUNTIF($C$12:C1093,"x")</f>
        <v>41</v>
      </c>
      <c r="B1093" s="1451" t="s">
        <v>457</v>
      </c>
      <c r="C1093" s="966" t="str">
        <f t="shared" si="215"/>
        <v xml:space="preserve"> </v>
      </c>
      <c r="D1093" s="1410">
        <f>3.77*(0.72)*4</f>
        <v>10.8576</v>
      </c>
      <c r="E1093" s="976"/>
      <c r="F1093" s="988" t="str">
        <f>VLOOKUP($B1093,DG!A:D,DG!$C$2,)</f>
        <v>Sắt góc L50 x50 x5</v>
      </c>
      <c r="G1093" s="976" t="str">
        <f>VLOOKUP($B1093,DG!A:D,DG!$D$2,)</f>
        <v>kg</v>
      </c>
      <c r="H1093" s="1689">
        <f t="shared" ref="H1093:L1095" si="218">H$1092*$D1093</f>
        <v>0</v>
      </c>
      <c r="I1093" s="1689">
        <f t="shared" si="218"/>
        <v>0</v>
      </c>
      <c r="J1093" s="1689">
        <f t="shared" si="218"/>
        <v>0</v>
      </c>
      <c r="K1093" s="1689">
        <f t="shared" si="218"/>
        <v>0</v>
      </c>
      <c r="L1093" s="1689">
        <f t="shared" si="218"/>
        <v>0</v>
      </c>
      <c r="M1093" s="1689"/>
      <c r="N1093" s="1689"/>
      <c r="O1093" s="1689"/>
      <c r="P1093" s="1689"/>
      <c r="Q1093" s="985"/>
      <c r="R1093" s="985"/>
      <c r="S1093" s="985"/>
      <c r="T1093" s="1858">
        <f t="shared" si="217"/>
        <v>0</v>
      </c>
    </row>
    <row r="1094" spans="1:20" ht="22.2" hidden="1" customHeight="1">
      <c r="A1094" s="1444">
        <f>COUNTIF($C$12:C1094,"x")</f>
        <v>41</v>
      </c>
      <c r="B1094" s="1451" t="s">
        <v>1079</v>
      </c>
      <c r="C1094" s="966" t="str">
        <f t="shared" si="215"/>
        <v xml:space="preserve"> </v>
      </c>
      <c r="D1094" s="1411">
        <v>4</v>
      </c>
      <c r="E1094" s="976"/>
      <c r="F1094" s="988" t="str">
        <f>VLOOKUP($B1094,DG!A:D,DG!$C$2,)</f>
        <v>Boulon 16x350+ 2 long đền vuông D18-50x50x3/Zn</v>
      </c>
      <c r="G1094" s="976" t="str">
        <f>VLOOKUP($B1094,DG!A:D,DG!$D$2,)</f>
        <v>bộ</v>
      </c>
      <c r="H1094" s="1689">
        <f t="shared" si="218"/>
        <v>0</v>
      </c>
      <c r="I1094" s="1689">
        <f t="shared" si="218"/>
        <v>0</v>
      </c>
      <c r="J1094" s="1689">
        <f t="shared" si="218"/>
        <v>0</v>
      </c>
      <c r="K1094" s="1689">
        <f t="shared" si="218"/>
        <v>0</v>
      </c>
      <c r="L1094" s="1689">
        <f t="shared" si="218"/>
        <v>0</v>
      </c>
      <c r="M1094" s="1689"/>
      <c r="N1094" s="1689"/>
      <c r="O1094" s="1689"/>
      <c r="P1094" s="1689"/>
      <c r="Q1094" s="985"/>
      <c r="R1094" s="985"/>
      <c r="S1094" s="985"/>
      <c r="T1094" s="1858">
        <f t="shared" si="217"/>
        <v>0</v>
      </c>
    </row>
    <row r="1095" spans="1:20" ht="22.2" hidden="1" customHeight="1">
      <c r="A1095" s="1444">
        <f>COUNTIF($C$12:C1095,"x")</f>
        <v>41</v>
      </c>
      <c r="B1095" s="1451" t="s">
        <v>1786</v>
      </c>
      <c r="C1095" s="966" t="str">
        <f t="shared" si="215"/>
        <v xml:space="preserve"> </v>
      </c>
      <c r="D1095" s="1411">
        <v>2</v>
      </c>
      <c r="E1095" s="976"/>
      <c r="F1095" s="988" t="str">
        <f>VLOOKUP($B1095,DG!A:D,DG!$C$2,)</f>
        <v>Boulon 16x50+ 2 long đền vuông D18-50x50x3/Zn</v>
      </c>
      <c r="G1095" s="976" t="str">
        <f>VLOOKUP($B1095,DG!A:D,DG!$D$2,)</f>
        <v>bộ</v>
      </c>
      <c r="H1095" s="1689">
        <f t="shared" si="218"/>
        <v>0</v>
      </c>
      <c r="I1095" s="1689">
        <f t="shared" si="218"/>
        <v>0</v>
      </c>
      <c r="J1095" s="1689">
        <f t="shared" si="218"/>
        <v>0</v>
      </c>
      <c r="K1095" s="1689">
        <f t="shared" si="218"/>
        <v>0</v>
      </c>
      <c r="L1095" s="1689">
        <f t="shared" si="218"/>
        <v>0</v>
      </c>
      <c r="M1095" s="1689"/>
      <c r="N1095" s="1689"/>
      <c r="O1095" s="1689"/>
      <c r="P1095" s="1689"/>
      <c r="Q1095" s="985"/>
      <c r="R1095" s="985"/>
      <c r="S1095" s="985"/>
      <c r="T1095" s="1858">
        <f t="shared" si="217"/>
        <v>0</v>
      </c>
    </row>
    <row r="1096" spans="1:20" ht="22.2" hidden="1" customHeight="1">
      <c r="A1096" s="1444">
        <f>COUNTIF($C$12:C1096,"x")</f>
        <v>41</v>
      </c>
      <c r="B1096" s="1451" t="s">
        <v>1995</v>
      </c>
      <c r="C1096" s="966" t="str">
        <f t="shared" si="215"/>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7"/>
        <v>0</v>
      </c>
    </row>
    <row r="1097" spans="1:20" ht="22.2" hidden="1" customHeight="1">
      <c r="A1097" s="1444">
        <f>COUNTIF($C$12:C1097,"x")</f>
        <v>41</v>
      </c>
      <c r="B1097" s="1451" t="s">
        <v>1996</v>
      </c>
      <c r="C1097" s="966" t="str">
        <f t="shared" si="215"/>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7"/>
        <v>0</v>
      </c>
    </row>
    <row r="1098" spans="1:20" ht="22.2" hidden="1" customHeight="1">
      <c r="A1098" s="1444">
        <f>COUNTIF($C$12:C1098,"x")</f>
        <v>41</v>
      </c>
      <c r="B1098" s="1460" t="s">
        <v>1997</v>
      </c>
      <c r="C1098" s="966" t="str">
        <f t="shared" si="215"/>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7"/>
        <v>0</v>
      </c>
    </row>
    <row r="1099" spans="1:20" ht="22.2" hidden="1" customHeight="1">
      <c r="A1099" s="1444">
        <f>COUNTIF($C$12:C1099,"x")</f>
        <v>41</v>
      </c>
      <c r="B1099" s="1460" t="s">
        <v>635</v>
      </c>
      <c r="C1099" s="966" t="str">
        <f t="shared" si="215"/>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7"/>
        <v>0</v>
      </c>
    </row>
    <row r="1100" spans="1:20" ht="22.2" hidden="1" customHeight="1">
      <c r="A1100" s="1444">
        <f>COUNTIF($C$12:C1100,"x")</f>
        <v>41</v>
      </c>
      <c r="B1100" s="1448" t="s">
        <v>1195</v>
      </c>
      <c r="C1100" s="966" t="str">
        <f t="shared" si="215"/>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2" hidden="1" customHeight="1">
      <c r="A1101" s="1444">
        <f>COUNTIF($C$12:C1101,"x")</f>
        <v>41</v>
      </c>
      <c r="B1101" s="1451" t="s">
        <v>1738</v>
      </c>
      <c r="C1101" s="966" t="str">
        <f t="shared" si="215"/>
        <v xml:space="preserve"> </v>
      </c>
      <c r="D1101" s="1411">
        <v>2</v>
      </c>
      <c r="E1101" s="976"/>
      <c r="F1101" s="988" t="str">
        <f>VLOOKUP($B1101,DG!A:D,DG!$C$2,)</f>
        <v>Cổ dê  Ø 240-Fe 8x100</v>
      </c>
      <c r="G1101" s="976" t="str">
        <f>VLOOKUP($B1101,DG!A:D,DG!$D$2,)</f>
        <v>bộ</v>
      </c>
      <c r="H1101" s="1689">
        <f t="shared" ref="H1101:L1102" si="219">H$1100*$D1101</f>
        <v>0</v>
      </c>
      <c r="I1101" s="1689">
        <f t="shared" si="219"/>
        <v>0</v>
      </c>
      <c r="J1101" s="1689">
        <f t="shared" si="219"/>
        <v>0</v>
      </c>
      <c r="K1101" s="1689">
        <f t="shared" si="219"/>
        <v>0</v>
      </c>
      <c r="L1101" s="1689">
        <f t="shared" si="219"/>
        <v>0</v>
      </c>
      <c r="M1101" s="1689"/>
      <c r="N1101" s="1689"/>
      <c r="O1101" s="1689"/>
      <c r="P1101" s="1689"/>
      <c r="Q1101" s="985"/>
      <c r="R1101" s="985"/>
      <c r="S1101" s="985"/>
      <c r="T1101" s="1858">
        <f t="shared" si="217"/>
        <v>0</v>
      </c>
    </row>
    <row r="1102" spans="1:20" ht="22.2" hidden="1" customHeight="1">
      <c r="A1102" s="1444">
        <f>COUNTIF($C$12:C1102,"x")</f>
        <v>41</v>
      </c>
      <c r="B1102" s="1451" t="s">
        <v>802</v>
      </c>
      <c r="C1102" s="966" t="str">
        <f t="shared" si="215"/>
        <v xml:space="preserve"> </v>
      </c>
      <c r="D1102" s="1411">
        <v>2</v>
      </c>
      <c r="E1102" s="976"/>
      <c r="F1102" s="988" t="str">
        <f>VLOOKUP($B1102,DG!A:D,DG!$C$2,)</f>
        <v>Boulon 16x100+ 2 long đền vuông D18-50x50x3/Zn</v>
      </c>
      <c r="G1102" s="976" t="str">
        <f>VLOOKUP($B1102,DG!A:D,DG!$D$2,)</f>
        <v>bộ</v>
      </c>
      <c r="H1102" s="1689">
        <f t="shared" si="219"/>
        <v>0</v>
      </c>
      <c r="I1102" s="1689">
        <f t="shared" si="219"/>
        <v>0</v>
      </c>
      <c r="J1102" s="1689">
        <f t="shared" si="219"/>
        <v>0</v>
      </c>
      <c r="K1102" s="1689">
        <f t="shared" si="219"/>
        <v>0</v>
      </c>
      <c r="L1102" s="1689">
        <f t="shared" si="219"/>
        <v>0</v>
      </c>
      <c r="M1102" s="1689"/>
      <c r="N1102" s="1689"/>
      <c r="O1102" s="1689"/>
      <c r="P1102" s="1689"/>
      <c r="Q1102" s="985"/>
      <c r="R1102" s="985"/>
      <c r="S1102" s="985"/>
      <c r="T1102" s="1858">
        <f t="shared" si="217"/>
        <v>0</v>
      </c>
    </row>
    <row r="1103" spans="1:20" ht="22.2" hidden="1" customHeight="1">
      <c r="A1103" s="1444">
        <f>COUNTIF($C$12:C1103,"x")</f>
        <v>41</v>
      </c>
      <c r="B1103" s="1451" t="s">
        <v>1995</v>
      </c>
      <c r="C1103" s="966" t="str">
        <f t="shared" si="215"/>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7"/>
        <v>0</v>
      </c>
    </row>
    <row r="1104" spans="1:20" ht="22.2" hidden="1" customHeight="1">
      <c r="A1104" s="1444">
        <f>COUNTIF($C$12:C1104,"x")</f>
        <v>41</v>
      </c>
      <c r="B1104" s="1451" t="s">
        <v>1996</v>
      </c>
      <c r="C1104" s="966" t="str">
        <f t="shared" si="215"/>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7"/>
        <v>0</v>
      </c>
    </row>
    <row r="1105" spans="1:20" ht="22.2" hidden="1" customHeight="1">
      <c r="A1105" s="1444">
        <f>COUNTIF($C$12:C1105,"x")</f>
        <v>41</v>
      </c>
      <c r="B1105" s="1460" t="s">
        <v>1997</v>
      </c>
      <c r="C1105" s="966" t="str">
        <f t="shared" si="215"/>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7"/>
        <v>0</v>
      </c>
    </row>
    <row r="1106" spans="1:20" ht="22.2" hidden="1" customHeight="1">
      <c r="A1106" s="1444">
        <f>COUNTIF($C$12:C1106,"x")</f>
        <v>41</v>
      </c>
      <c r="B1106" s="1460" t="s">
        <v>635</v>
      </c>
      <c r="C1106" s="966" t="str">
        <f t="shared" si="215"/>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7"/>
        <v>0</v>
      </c>
    </row>
    <row r="1107" spans="1:20" ht="22.2" hidden="1" customHeight="1">
      <c r="A1107" s="1444">
        <f>COUNTIF($C$12:C1107,"x")</f>
        <v>41</v>
      </c>
      <c r="B1107" s="1448" t="s">
        <v>4706</v>
      </c>
      <c r="C1107" s="1697" t="str">
        <f t="shared" si="215"/>
        <v xml:space="preserve"> </v>
      </c>
      <c r="D1107" s="1408"/>
      <c r="E1107" s="977"/>
      <c r="F1107" s="1272" t="s">
        <v>4725</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2" hidden="1" customHeight="1">
      <c r="A1108" s="1444">
        <f>COUNTIF($C$12:C1108,"x")</f>
        <v>41</v>
      </c>
      <c r="B1108" s="1447" t="s">
        <v>4692</v>
      </c>
      <c r="C1108" s="966" t="str">
        <f t="shared" si="215"/>
        <v xml:space="preserve"> </v>
      </c>
      <c r="D1108" s="1411">
        <v>1</v>
      </c>
      <c r="E1108" s="976"/>
      <c r="F1108" s="988" t="str">
        <f>VLOOKUP($B1108,DG!A:D,DG!$C$2,)</f>
        <v>Đà composite 0,8m</v>
      </c>
      <c r="G1108" s="976" t="str">
        <f>VLOOKUP($B1108,DG!A:D,DG!$D$2,)</f>
        <v>cây</v>
      </c>
      <c r="H1108" s="1689">
        <f>H$1107*$D1108</f>
        <v>0</v>
      </c>
      <c r="I1108" s="1689">
        <f t="shared" ref="I1108:R1108" si="220">I$1107*$D1108</f>
        <v>0</v>
      </c>
      <c r="J1108" s="1689">
        <f t="shared" si="220"/>
        <v>0</v>
      </c>
      <c r="K1108" s="1689">
        <f t="shared" si="220"/>
        <v>0</v>
      </c>
      <c r="L1108" s="1689">
        <f t="shared" si="220"/>
        <v>0</v>
      </c>
      <c r="M1108" s="1689">
        <f t="shared" si="220"/>
        <v>0</v>
      </c>
      <c r="N1108" s="1689">
        <f t="shared" si="220"/>
        <v>0</v>
      </c>
      <c r="O1108" s="1689">
        <f t="shared" si="220"/>
        <v>0</v>
      </c>
      <c r="P1108" s="1689">
        <f t="shared" si="220"/>
        <v>0</v>
      </c>
      <c r="Q1108" s="1689">
        <f t="shared" si="220"/>
        <v>0</v>
      </c>
      <c r="R1108" s="1689">
        <f t="shared" si="220"/>
        <v>0</v>
      </c>
      <c r="S1108" s="985"/>
      <c r="T1108" s="1858">
        <f t="shared" si="217"/>
        <v>0</v>
      </c>
    </row>
    <row r="1109" spans="1:20" ht="22.2" hidden="1" customHeight="1">
      <c r="A1109" s="1444">
        <f>COUNTIF($C$12:C1109,"x")</f>
        <v>41</v>
      </c>
      <c r="B1109" s="1447" t="s">
        <v>365</v>
      </c>
      <c r="C1109" s="1697" t="str">
        <f t="shared" si="215"/>
        <v xml:space="preserve"> </v>
      </c>
      <c r="D1109" s="1417">
        <v>1</v>
      </c>
      <c r="E1109" s="976"/>
      <c r="F1109" s="988" t="str">
        <f>VLOOKUP($B1109,DG!A:D,DG!$C$2,)</f>
        <v>Chống composite 40x10x920</v>
      </c>
      <c r="G1109" s="976" t="str">
        <f>VLOOKUP($B1109,DG!A:D,DG!$D$2,)</f>
        <v>cái</v>
      </c>
      <c r="H1109" s="1689">
        <f t="shared" ref="H1109:R1113" si="221">H$1107*$D1109</f>
        <v>0</v>
      </c>
      <c r="I1109" s="1689">
        <f t="shared" si="221"/>
        <v>0</v>
      </c>
      <c r="J1109" s="1689">
        <f t="shared" si="221"/>
        <v>0</v>
      </c>
      <c r="K1109" s="1689">
        <f t="shared" si="221"/>
        <v>0</v>
      </c>
      <c r="L1109" s="1689">
        <f t="shared" si="221"/>
        <v>0</v>
      </c>
      <c r="M1109" s="1689">
        <f t="shared" si="221"/>
        <v>0</v>
      </c>
      <c r="N1109" s="1689">
        <f t="shared" si="221"/>
        <v>0</v>
      </c>
      <c r="O1109" s="1689">
        <f t="shared" si="221"/>
        <v>0</v>
      </c>
      <c r="P1109" s="1689">
        <f t="shared" si="221"/>
        <v>0</v>
      </c>
      <c r="Q1109" s="1689">
        <f t="shared" si="221"/>
        <v>0</v>
      </c>
      <c r="R1109" s="1689">
        <f t="shared" si="221"/>
        <v>0</v>
      </c>
      <c r="S1109" s="985"/>
      <c r="T1109" s="1858">
        <f t="shared" si="217"/>
        <v>0</v>
      </c>
    </row>
    <row r="1110" spans="1:20" ht="22.2" hidden="1" customHeight="1">
      <c r="A1110" s="1444">
        <f>COUNTIF($C$12:C1110,"x")</f>
        <v>41</v>
      </c>
      <c r="B1110" s="1447" t="s">
        <v>4726</v>
      </c>
      <c r="C1110" s="1697" t="str">
        <f t="shared" si="215"/>
        <v xml:space="preserve"> </v>
      </c>
      <c r="D1110" s="1411">
        <v>2</v>
      </c>
      <c r="E1110" s="976"/>
      <c r="F1110" s="988" t="str">
        <f>VLOOKUP($B1110,DG!A:D,DG!$C$2,)</f>
        <v>Thanh chống Composite 10x40x720</v>
      </c>
      <c r="G1110" s="976" t="str">
        <f>VLOOKUP($B1110,DG!A:D,DG!$D$2,)</f>
        <v>cái</v>
      </c>
      <c r="H1110" s="1689">
        <f t="shared" si="221"/>
        <v>0</v>
      </c>
      <c r="I1110" s="1689">
        <f t="shared" si="221"/>
        <v>0</v>
      </c>
      <c r="J1110" s="1689">
        <f t="shared" si="221"/>
        <v>0</v>
      </c>
      <c r="K1110" s="1689">
        <f t="shared" si="221"/>
        <v>0</v>
      </c>
      <c r="L1110" s="1689">
        <f t="shared" si="221"/>
        <v>0</v>
      </c>
      <c r="M1110" s="1689">
        <f t="shared" si="221"/>
        <v>0</v>
      </c>
      <c r="N1110" s="1689">
        <f t="shared" si="221"/>
        <v>0</v>
      </c>
      <c r="O1110" s="1689">
        <f t="shared" si="221"/>
        <v>0</v>
      </c>
      <c r="P1110" s="1689">
        <f t="shared" si="221"/>
        <v>0</v>
      </c>
      <c r="Q1110" s="1689">
        <f t="shared" si="221"/>
        <v>0</v>
      </c>
      <c r="R1110" s="1689">
        <f t="shared" si="221"/>
        <v>0</v>
      </c>
      <c r="S1110" s="985"/>
      <c r="T1110" s="1858">
        <f t="shared" si="217"/>
        <v>0</v>
      </c>
    </row>
    <row r="1111" spans="1:20" ht="22.2" hidden="1" customHeight="1">
      <c r="A1111" s="1444">
        <f>COUNTIF($C$12:C1111,"x")</f>
        <v>41</v>
      </c>
      <c r="B1111" s="1447" t="s">
        <v>244</v>
      </c>
      <c r="C1111" s="1697" t="str">
        <f t="shared" si="215"/>
        <v xml:space="preserve"> </v>
      </c>
      <c r="D1111" s="1411">
        <v>2</v>
      </c>
      <c r="E1111" s="976"/>
      <c r="F1111" s="988" t="str">
        <f>VLOOKUP($B1111,DG!A:D,DG!$C$2,)</f>
        <v>Boulon 16x150+ 2 long đền vuông D18-50x50x3/Zn</v>
      </c>
      <c r="G1111" s="976" t="str">
        <f>VLOOKUP($B1111,DG!A:D,DG!$D$2,)</f>
        <v>bộ</v>
      </c>
      <c r="H1111" s="1689">
        <f t="shared" si="221"/>
        <v>0</v>
      </c>
      <c r="I1111" s="1689">
        <f t="shared" si="221"/>
        <v>0</v>
      </c>
      <c r="J1111" s="1689">
        <f t="shared" si="221"/>
        <v>0</v>
      </c>
      <c r="K1111" s="1689">
        <f t="shared" si="221"/>
        <v>0</v>
      </c>
      <c r="L1111" s="1689">
        <f t="shared" si="221"/>
        <v>0</v>
      </c>
      <c r="M1111" s="1689">
        <f t="shared" si="221"/>
        <v>0</v>
      </c>
      <c r="N1111" s="1689">
        <f t="shared" si="221"/>
        <v>0</v>
      </c>
      <c r="O1111" s="1689">
        <f t="shared" si="221"/>
        <v>0</v>
      </c>
      <c r="P1111" s="1689">
        <f t="shared" si="221"/>
        <v>0</v>
      </c>
      <c r="Q1111" s="1689">
        <f t="shared" si="221"/>
        <v>0</v>
      </c>
      <c r="R1111" s="1689">
        <f t="shared" si="221"/>
        <v>0</v>
      </c>
      <c r="S1111" s="985"/>
      <c r="T1111" s="1858">
        <f t="shared" si="217"/>
        <v>0</v>
      </c>
    </row>
    <row r="1112" spans="1:20" ht="22.2" hidden="1" customHeight="1">
      <c r="A1112" s="1444">
        <f>COUNTIF($C$12:C1112,"x")</f>
        <v>41</v>
      </c>
      <c r="B1112" s="1447" t="s">
        <v>1083</v>
      </c>
      <c r="C1112" s="1697" t="str">
        <f t="shared" si="215"/>
        <v xml:space="preserve"> </v>
      </c>
      <c r="D1112" s="1411">
        <v>2</v>
      </c>
      <c r="E1112" s="976"/>
      <c r="F1112" s="988" t="str">
        <f>VLOOKUP($B1112,DG!A:D,DG!$C$2,)</f>
        <v>Boulon 16x400+ 2 long đền vuông D18-50x50x3/Zn</v>
      </c>
      <c r="G1112" s="976" t="str">
        <f>VLOOKUP($B1112,DG!A:D,DG!$D$2,)</f>
        <v>bộ</v>
      </c>
      <c r="H1112" s="1689">
        <f t="shared" si="221"/>
        <v>0</v>
      </c>
      <c r="I1112" s="1689">
        <f t="shared" si="221"/>
        <v>0</v>
      </c>
      <c r="J1112" s="1689">
        <f t="shared" si="221"/>
        <v>0</v>
      </c>
      <c r="K1112" s="1689">
        <f t="shared" si="221"/>
        <v>0</v>
      </c>
      <c r="L1112" s="1689">
        <f t="shared" si="221"/>
        <v>0</v>
      </c>
      <c r="M1112" s="1689">
        <f t="shared" si="221"/>
        <v>0</v>
      </c>
      <c r="N1112" s="1689">
        <f t="shared" si="221"/>
        <v>0</v>
      </c>
      <c r="O1112" s="1689">
        <f t="shared" si="221"/>
        <v>0</v>
      </c>
      <c r="P1112" s="1689">
        <f t="shared" si="221"/>
        <v>0</v>
      </c>
      <c r="Q1112" s="1689">
        <f t="shared" si="221"/>
        <v>0</v>
      </c>
      <c r="R1112" s="1689">
        <f t="shared" si="221"/>
        <v>0</v>
      </c>
      <c r="S1112" s="985"/>
      <c r="T1112" s="1858">
        <f t="shared" si="217"/>
        <v>0</v>
      </c>
    </row>
    <row r="1113" spans="1:20" ht="22.2" hidden="1" customHeight="1">
      <c r="A1113" s="1444">
        <f>COUNTIF($C$12:C1113,"x")</f>
        <v>41</v>
      </c>
      <c r="B1113" s="1447" t="s">
        <v>1995</v>
      </c>
      <c r="C1113" s="1697" t="str">
        <f t="shared" si="215"/>
        <v xml:space="preserve"> </v>
      </c>
      <c r="D1113" s="1411">
        <v>1</v>
      </c>
      <c r="E1113" s="976"/>
      <c r="F1113" s="981" t="str">
        <f>VLOOKUP($B1113,DG!A:D,DG!$C$2,)</f>
        <v>Lắp xà đỡ ≤ 25kg</v>
      </c>
      <c r="G1113" s="976" t="str">
        <f>VLOOKUP($B1113,DG!A:D,DG!$D$2,)</f>
        <v>bộ</v>
      </c>
      <c r="H1113" s="1689">
        <f t="shared" si="221"/>
        <v>0</v>
      </c>
      <c r="I1113" s="1689">
        <f t="shared" si="221"/>
        <v>0</v>
      </c>
      <c r="J1113" s="1689">
        <f t="shared" si="221"/>
        <v>0</v>
      </c>
      <c r="K1113" s="1689">
        <f t="shared" si="221"/>
        <v>0</v>
      </c>
      <c r="L1113" s="1689">
        <f t="shared" si="221"/>
        <v>0</v>
      </c>
      <c r="M1113" s="1689">
        <f t="shared" si="221"/>
        <v>0</v>
      </c>
      <c r="N1113" s="1689">
        <f t="shared" si="221"/>
        <v>0</v>
      </c>
      <c r="O1113" s="1689">
        <f t="shared" si="221"/>
        <v>0</v>
      </c>
      <c r="P1113" s="1689">
        <f t="shared" si="221"/>
        <v>0</v>
      </c>
      <c r="Q1113" s="1689">
        <f t="shared" si="221"/>
        <v>0</v>
      </c>
      <c r="R1113" s="1689">
        <f t="shared" si="221"/>
        <v>0</v>
      </c>
      <c r="S1113" s="985"/>
      <c r="T1113" s="1858">
        <f t="shared" si="217"/>
        <v>0</v>
      </c>
    </row>
    <row r="1114" spans="1:20" ht="22.2" hidden="1" customHeight="1">
      <c r="A1114" s="1444">
        <f>COUNTIF($C$12:C1114,"x")</f>
        <v>41</v>
      </c>
      <c r="B1114" s="1448" t="s">
        <v>361</v>
      </c>
      <c r="C1114" s="1697" t="str">
        <f t="shared" ref="C1114:C1121" si="222">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2" hidden="1" customHeight="1">
      <c r="A1115" s="1444">
        <f>COUNTIF($C$12:C1115,"x")</f>
        <v>41</v>
      </c>
      <c r="B1115" s="1447" t="s">
        <v>4326</v>
      </c>
      <c r="C1115" s="966" t="str">
        <f t="shared" si="222"/>
        <v xml:space="preserve"> </v>
      </c>
      <c r="D1115" s="1411">
        <v>1</v>
      </c>
      <c r="E1115" s="976"/>
      <c r="F1115" s="988" t="str">
        <f>VLOOKUP($B1115,DG!A:D,DG!$C$2,)</f>
        <v>Xà composite 110x800x5 dài 2,4m</v>
      </c>
      <c r="G1115" s="976" t="str">
        <f>VLOOKUP($B1115,DG!A:D,DG!$D$2,)</f>
        <v>cái</v>
      </c>
      <c r="H1115" s="1689">
        <f>$H$1114*$D1115</f>
        <v>0</v>
      </c>
      <c r="I1115" s="1689">
        <f t="shared" ref="I1115:J1120" si="223">I$1062*$D1115</f>
        <v>0</v>
      </c>
      <c r="J1115" s="1689">
        <f t="shared" si="223"/>
        <v>0</v>
      </c>
      <c r="K1115" s="1689">
        <f t="shared" ref="K1115:K1120" si="224">K$1114*$D1115</f>
        <v>0</v>
      </c>
      <c r="L1115" s="1689">
        <f t="shared" ref="L1115:L1120" si="225">L$1062*$D1115</f>
        <v>0</v>
      </c>
      <c r="M1115" s="1689"/>
      <c r="N1115" s="1689"/>
      <c r="O1115" s="1689"/>
      <c r="P1115" s="1689">
        <f>$P$1114*D1115</f>
        <v>0</v>
      </c>
      <c r="Q1115" s="2668"/>
      <c r="R1115" s="985"/>
      <c r="S1115" s="985"/>
      <c r="T1115" s="1858">
        <f t="shared" si="217"/>
        <v>0</v>
      </c>
    </row>
    <row r="1116" spans="1:20" ht="22.2" hidden="1" customHeight="1">
      <c r="A1116" s="1444">
        <f>COUNTIF($C$12:C1116,"x")</f>
        <v>41</v>
      </c>
      <c r="B1116" s="1451" t="s">
        <v>364</v>
      </c>
      <c r="C1116" s="1697" t="str">
        <f t="shared" si="222"/>
        <v xml:space="preserve"> </v>
      </c>
      <c r="D1116" s="1417">
        <v>2.4</v>
      </c>
      <c r="E1116" s="976"/>
      <c r="F1116" s="988" t="str">
        <f>VLOOKUP($B1116,DG!A:D,DG!$C$2,)</f>
        <v>Xà composite 110x800x5</v>
      </c>
      <c r="G1116" s="976" t="str">
        <f>VLOOKUP($B1116,DG!A:D,DG!$D$2,)</f>
        <v>cái</v>
      </c>
      <c r="H1116" s="1689"/>
      <c r="I1116" s="1689">
        <f t="shared" si="223"/>
        <v>0</v>
      </c>
      <c r="J1116" s="1689">
        <f t="shared" si="223"/>
        <v>0</v>
      </c>
      <c r="K1116" s="1689">
        <f t="shared" si="224"/>
        <v>0</v>
      </c>
      <c r="L1116" s="1689">
        <f t="shared" si="225"/>
        <v>0</v>
      </c>
      <c r="M1116" s="1689"/>
      <c r="N1116" s="1689"/>
      <c r="O1116" s="1689"/>
      <c r="P1116" s="1689"/>
      <c r="Q1116" s="985"/>
      <c r="R1116" s="985"/>
      <c r="S1116" s="985"/>
      <c r="T1116" s="1858">
        <f t="shared" si="217"/>
        <v>0</v>
      </c>
    </row>
    <row r="1117" spans="1:20" ht="22.2" hidden="1" customHeight="1">
      <c r="A1117" s="1444">
        <f>COUNTIF($C$12:C1117,"x")</f>
        <v>41</v>
      </c>
      <c r="B1117" s="1447" t="s">
        <v>365</v>
      </c>
      <c r="C1117" s="1697" t="str">
        <f t="shared" si="222"/>
        <v xml:space="preserve"> </v>
      </c>
      <c r="D1117" s="1411">
        <v>2</v>
      </c>
      <c r="E1117" s="976"/>
      <c r="F1117" s="988" t="str">
        <f>VLOOKUP($B1117,DG!A:D,DG!$C$2,)</f>
        <v>Chống composite 40x10x920</v>
      </c>
      <c r="G1117" s="976" t="str">
        <f>VLOOKUP($B1117,DG!A:D,DG!$D$2,)</f>
        <v>cái</v>
      </c>
      <c r="H1117" s="1689">
        <f>$H$1114*$D1117</f>
        <v>0</v>
      </c>
      <c r="I1117" s="1689">
        <f t="shared" si="223"/>
        <v>0</v>
      </c>
      <c r="J1117" s="1689">
        <f t="shared" si="223"/>
        <v>0</v>
      </c>
      <c r="K1117" s="1689">
        <f t="shared" si="224"/>
        <v>0</v>
      </c>
      <c r="L1117" s="1689">
        <f t="shared" si="225"/>
        <v>0</v>
      </c>
      <c r="M1117" s="1689"/>
      <c r="N1117" s="1689"/>
      <c r="O1117" s="1689"/>
      <c r="P1117" s="1689">
        <f>$P$1114*D1117</f>
        <v>0</v>
      </c>
      <c r="Q1117" s="2668"/>
      <c r="R1117" s="985"/>
      <c r="S1117" s="985"/>
      <c r="T1117" s="1858">
        <f t="shared" si="217"/>
        <v>0</v>
      </c>
    </row>
    <row r="1118" spans="1:20" ht="22.2" hidden="1" customHeight="1">
      <c r="A1118" s="1444">
        <f>COUNTIF($C$12:C1118,"x")</f>
        <v>41</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3"/>
        <v>0</v>
      </c>
      <c r="J1118" s="1689">
        <f t="shared" si="223"/>
        <v>0</v>
      </c>
      <c r="K1118" s="1689">
        <f t="shared" si="224"/>
        <v>0</v>
      </c>
      <c r="L1118" s="1689">
        <f t="shared" si="225"/>
        <v>0</v>
      </c>
      <c r="M1118" s="1689"/>
      <c r="N1118" s="1689"/>
      <c r="O1118" s="1689"/>
      <c r="P1118" s="1689">
        <f>$P$1114*D1118</f>
        <v>0</v>
      </c>
      <c r="Q1118" s="2668"/>
      <c r="R1118" s="985"/>
      <c r="S1118" s="985"/>
      <c r="T1118" s="1858">
        <f>IFERROR(HLOOKUP(B1118,BangKeTru,3,0),0)</f>
        <v>0</v>
      </c>
    </row>
    <row r="1119" spans="1:20" ht="22.2" hidden="1" customHeight="1">
      <c r="A1119" s="1444">
        <f>COUNTIF($C$12:C1119,"x")</f>
        <v>41</v>
      </c>
      <c r="B1119" s="1447" t="s">
        <v>1609</v>
      </c>
      <c r="C1119" s="1697" t="str">
        <f t="shared" si="222"/>
        <v xml:space="preserve"> </v>
      </c>
      <c r="D1119" s="1411">
        <v>1</v>
      </c>
      <c r="E1119" s="976"/>
      <c r="F1119" s="988" t="str">
        <f>VLOOKUP($B1119,DG!A:D,DG!$C$2,)</f>
        <v>Boulon 16x250+ 2 long đền vuông D18-50x50x3/Zn</v>
      </c>
      <c r="G1119" s="976" t="str">
        <f>VLOOKUP($B1119,DG!A:D,DG!$D$2,)</f>
        <v>bộ</v>
      </c>
      <c r="H1119" s="1689">
        <f>$H$1114*$D1119</f>
        <v>0</v>
      </c>
      <c r="I1119" s="1689">
        <f t="shared" si="223"/>
        <v>0</v>
      </c>
      <c r="J1119" s="1689">
        <f t="shared" si="223"/>
        <v>0</v>
      </c>
      <c r="K1119" s="1689">
        <f t="shared" si="224"/>
        <v>0</v>
      </c>
      <c r="L1119" s="1689">
        <f t="shared" si="225"/>
        <v>0</v>
      </c>
      <c r="M1119" s="1689"/>
      <c r="N1119" s="1689"/>
      <c r="O1119" s="1689"/>
      <c r="P1119" s="1689">
        <f>$P$1114*D1119</f>
        <v>0</v>
      </c>
      <c r="Q1119" s="2668"/>
      <c r="R1119" s="985"/>
      <c r="S1119" s="985"/>
      <c r="T1119" s="1858">
        <f t="shared" si="217"/>
        <v>0</v>
      </c>
    </row>
    <row r="1120" spans="1:20" ht="22.2" hidden="1" customHeight="1">
      <c r="A1120" s="1444">
        <f>COUNTIF($C$12:C1120,"x")</f>
        <v>41</v>
      </c>
      <c r="B1120" s="1447" t="s">
        <v>1079</v>
      </c>
      <c r="C1120" s="1697" t="str">
        <f t="shared" si="222"/>
        <v xml:space="preserve"> </v>
      </c>
      <c r="D1120" s="1411">
        <v>1</v>
      </c>
      <c r="E1120" s="976"/>
      <c r="F1120" s="988" t="str">
        <f>VLOOKUP($B1120,DG!A:D,DG!$C$2,)</f>
        <v>Boulon 16x350+ 2 long đền vuông D18-50x50x3/Zn</v>
      </c>
      <c r="G1120" s="976" t="str">
        <f>VLOOKUP($B1120,DG!A:D,DG!$D$2,)</f>
        <v>bộ</v>
      </c>
      <c r="H1120" s="1689">
        <f>$H$1114*$D1120</f>
        <v>0</v>
      </c>
      <c r="I1120" s="1689">
        <f t="shared" si="223"/>
        <v>0</v>
      </c>
      <c r="J1120" s="1689">
        <f t="shared" si="223"/>
        <v>0</v>
      </c>
      <c r="K1120" s="1689">
        <f t="shared" si="224"/>
        <v>0</v>
      </c>
      <c r="L1120" s="1689">
        <f t="shared" si="225"/>
        <v>0</v>
      </c>
      <c r="M1120" s="1689"/>
      <c r="N1120" s="1689"/>
      <c r="O1120" s="1689"/>
      <c r="P1120" s="1689">
        <f>$P$1114*D1120</f>
        <v>0</v>
      </c>
      <c r="Q1120" s="2668"/>
      <c r="R1120" s="985"/>
      <c r="S1120" s="985"/>
      <c r="T1120" s="1858">
        <f t="shared" si="217"/>
        <v>0</v>
      </c>
    </row>
    <row r="1121" spans="1:20" ht="22.2" hidden="1" customHeight="1">
      <c r="A1121" s="1444">
        <f>COUNTIF($C$12:C1121,"x")</f>
        <v>41</v>
      </c>
      <c r="B1121" s="1447" t="s">
        <v>1995</v>
      </c>
      <c r="C1121" s="1697" t="str">
        <f t="shared" si="222"/>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7"/>
        <v>0</v>
      </c>
    </row>
    <row r="1122" spans="1:20" ht="22.2" hidden="1" customHeight="1" collapsed="1">
      <c r="A1122" s="1444">
        <f>COUNTIF($C$12:C1122,"x")</f>
        <v>41</v>
      </c>
      <c r="B1122" s="1448" t="s">
        <v>633</v>
      </c>
      <c r="C1122" s="966" t="str">
        <f t="shared" si="215"/>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2" hidden="1" customHeight="1">
      <c r="A1123" s="1444">
        <f>COUNTIF($C$12:C1123,"x")</f>
        <v>41</v>
      </c>
      <c r="B1123" s="1451" t="s">
        <v>1061</v>
      </c>
      <c r="C1123" s="966" t="str">
        <f t="shared" si="215"/>
        <v xml:space="preserve"> </v>
      </c>
      <c r="D1123" s="1411">
        <v>1</v>
      </c>
      <c r="E1123" s="976"/>
      <c r="F1123" s="988" t="str">
        <f>VLOOKUP($B1123,DG!A:D,DG!$C$2,)</f>
        <v>Boulon mắt 16x250+ 2 long đền vuông D18-50x50x3/Zn</v>
      </c>
      <c r="G1123" s="976" t="str">
        <f>VLOOKUP($B1123,DG!A:D,DG!$D$2,)</f>
        <v>bộ</v>
      </c>
      <c r="H1123" s="1689">
        <f t="shared" ref="H1123:N1128" si="226">H$1122*$D1123</f>
        <v>0</v>
      </c>
      <c r="I1123" s="1689">
        <f t="shared" si="226"/>
        <v>0</v>
      </c>
      <c r="J1123" s="1689">
        <f t="shared" si="226"/>
        <v>0</v>
      </c>
      <c r="K1123" s="1689">
        <f t="shared" si="226"/>
        <v>0</v>
      </c>
      <c r="L1123" s="1689">
        <f t="shared" si="226"/>
        <v>0</v>
      </c>
      <c r="M1123" s="1689">
        <f t="shared" si="226"/>
        <v>0</v>
      </c>
      <c r="N1123" s="1689">
        <f t="shared" si="226"/>
        <v>0</v>
      </c>
      <c r="O1123" s="1689"/>
      <c r="P1123" s="1689">
        <f t="shared" ref="P1123:P1129" si="227">$P$1122*D1123</f>
        <v>0</v>
      </c>
      <c r="Q1123" s="985"/>
      <c r="R1123" s="985"/>
      <c r="S1123" s="985"/>
      <c r="T1123" s="1858">
        <f t="shared" si="217"/>
        <v>0</v>
      </c>
    </row>
    <row r="1124" spans="1:20" ht="22.2" hidden="1" customHeight="1">
      <c r="A1124" s="1444">
        <f>COUNTIF($C$12:C1124,"x")</f>
        <v>41</v>
      </c>
      <c r="B1124" s="1451" t="s">
        <v>111</v>
      </c>
      <c r="C1124" s="966" t="str">
        <f t="shared" si="215"/>
        <v xml:space="preserve"> </v>
      </c>
      <c r="D1124" s="1411">
        <v>1</v>
      </c>
      <c r="E1124" s="976"/>
      <c r="F1124" s="988" t="str">
        <f>VLOOKUP($B1124,DG!A:D,DG!$C$2,)</f>
        <v>Sứ chằng</v>
      </c>
      <c r="G1124" s="976" t="str">
        <f>VLOOKUP($B1124,DG!A:D,DG!$D$2,)</f>
        <v>cái</v>
      </c>
      <c r="H1124" s="1689">
        <f t="shared" si="226"/>
        <v>0</v>
      </c>
      <c r="I1124" s="1689">
        <f t="shared" si="226"/>
        <v>0</v>
      </c>
      <c r="J1124" s="1689">
        <f t="shared" si="226"/>
        <v>0</v>
      </c>
      <c r="K1124" s="1689">
        <f t="shared" si="226"/>
        <v>0</v>
      </c>
      <c r="L1124" s="1689">
        <f t="shared" si="226"/>
        <v>0</v>
      </c>
      <c r="M1124" s="1689">
        <f t="shared" si="226"/>
        <v>0</v>
      </c>
      <c r="N1124" s="1689">
        <f t="shared" si="226"/>
        <v>0</v>
      </c>
      <c r="O1124" s="1689"/>
      <c r="P1124" s="1689">
        <f t="shared" si="227"/>
        <v>0</v>
      </c>
      <c r="Q1124" s="985"/>
      <c r="R1124" s="985"/>
      <c r="S1124" s="985"/>
      <c r="T1124" s="1858">
        <f t="shared" si="217"/>
        <v>0</v>
      </c>
    </row>
    <row r="1125" spans="1:20" ht="22.2" hidden="1" customHeight="1">
      <c r="A1125" s="1444">
        <f>COUNTIF($C$12:C1125,"x")</f>
        <v>41</v>
      </c>
      <c r="B1125" s="1451" t="s">
        <v>1578</v>
      </c>
      <c r="C1125" s="966" t="str">
        <f t="shared" si="215"/>
        <v xml:space="preserve"> </v>
      </c>
      <c r="D1125" s="1411">
        <v>4</v>
      </c>
      <c r="E1125" s="976"/>
      <c r="F1125" s="988" t="str">
        <f>VLOOKUP($B1125,DG!A:D,DG!$C$2,)</f>
        <v>Kẹp cáp 3 boulon</v>
      </c>
      <c r="G1125" s="976" t="str">
        <f>VLOOKUP($B1125,DG!A:D,DG!$D$2,)</f>
        <v>cái</v>
      </c>
      <c r="H1125" s="1689">
        <f t="shared" si="226"/>
        <v>0</v>
      </c>
      <c r="I1125" s="1689">
        <f t="shared" si="226"/>
        <v>0</v>
      </c>
      <c r="J1125" s="1689">
        <f t="shared" si="226"/>
        <v>0</v>
      </c>
      <c r="K1125" s="1689">
        <f t="shared" si="226"/>
        <v>0</v>
      </c>
      <c r="L1125" s="1689">
        <f t="shared" si="226"/>
        <v>0</v>
      </c>
      <c r="M1125" s="1689">
        <f t="shared" si="226"/>
        <v>0</v>
      </c>
      <c r="N1125" s="1689">
        <f t="shared" si="226"/>
        <v>0</v>
      </c>
      <c r="O1125" s="1689"/>
      <c r="P1125" s="1689">
        <f t="shared" si="227"/>
        <v>0</v>
      </c>
      <c r="Q1125" s="985"/>
      <c r="R1125" s="985"/>
      <c r="S1125" s="985"/>
      <c r="T1125" s="1858">
        <f t="shared" si="217"/>
        <v>0</v>
      </c>
    </row>
    <row r="1126" spans="1:20" ht="22.2" hidden="1" customHeight="1">
      <c r="A1126" s="1444">
        <f>COUNTIF($C$12:C1126,"x")</f>
        <v>41</v>
      </c>
      <c r="B1126" s="1451" t="s">
        <v>275</v>
      </c>
      <c r="C1126" s="966" t="str">
        <f t="shared" si="215"/>
        <v xml:space="preserve"> </v>
      </c>
      <c r="D1126" s="1421">
        <v>5.53</v>
      </c>
      <c r="E1126" s="976"/>
      <c r="F1126" s="988" t="str">
        <f>VLOOKUP($B1126,DG!A:D,DG!$C$2,)</f>
        <v>Cáp thép 3/8"</v>
      </c>
      <c r="G1126" s="976" t="str">
        <f>VLOOKUP($B1126,DG!A:D,DG!$D$2,)</f>
        <v>kg</v>
      </c>
      <c r="H1126" s="1689">
        <f t="shared" si="226"/>
        <v>0</v>
      </c>
      <c r="I1126" s="1689">
        <f t="shared" si="226"/>
        <v>0</v>
      </c>
      <c r="J1126" s="1689">
        <f t="shared" si="226"/>
        <v>0</v>
      </c>
      <c r="K1126" s="1689">
        <f t="shared" si="226"/>
        <v>0</v>
      </c>
      <c r="L1126" s="1689">
        <f t="shared" si="226"/>
        <v>0</v>
      </c>
      <c r="M1126" s="1689">
        <f t="shared" si="226"/>
        <v>0</v>
      </c>
      <c r="N1126" s="1689">
        <f t="shared" si="226"/>
        <v>0</v>
      </c>
      <c r="O1126" s="1689"/>
      <c r="P1126" s="1689">
        <f t="shared" si="227"/>
        <v>0</v>
      </c>
      <c r="Q1126" s="985"/>
      <c r="R1126" s="985"/>
      <c r="S1126" s="985"/>
      <c r="T1126" s="1858">
        <f t="shared" si="217"/>
        <v>0</v>
      </c>
    </row>
    <row r="1127" spans="1:20" ht="22.2" hidden="1" customHeight="1">
      <c r="A1127" s="1444">
        <f>COUNTIF($C$12:C1127,"x")</f>
        <v>41</v>
      </c>
      <c r="B1127" s="1451" t="s">
        <v>2000</v>
      </c>
      <c r="C1127" s="966" t="str">
        <f t="shared" si="215"/>
        <v xml:space="preserve"> </v>
      </c>
      <c r="D1127" s="1411">
        <v>2</v>
      </c>
      <c r="E1127" s="976"/>
      <c r="F1127" s="988" t="str">
        <f>VLOOKUP($B1127,DG!A:D,DG!$C$2,)</f>
        <v>Yếm cáp dày 2mm</v>
      </c>
      <c r="G1127" s="976" t="str">
        <f>VLOOKUP($B1127,DG!A:D,DG!$D$2,)</f>
        <v>cái</v>
      </c>
      <c r="H1127" s="1689">
        <f t="shared" si="226"/>
        <v>0</v>
      </c>
      <c r="I1127" s="1689">
        <f t="shared" si="226"/>
        <v>0</v>
      </c>
      <c r="J1127" s="1689">
        <f t="shared" si="226"/>
        <v>0</v>
      </c>
      <c r="K1127" s="1689">
        <f t="shared" si="226"/>
        <v>0</v>
      </c>
      <c r="L1127" s="1689">
        <f t="shared" si="226"/>
        <v>0</v>
      </c>
      <c r="M1127" s="1689">
        <f t="shared" si="226"/>
        <v>0</v>
      </c>
      <c r="N1127" s="1689">
        <f t="shared" si="226"/>
        <v>0</v>
      </c>
      <c r="O1127" s="1689"/>
      <c r="P1127" s="1689">
        <f t="shared" si="227"/>
        <v>0</v>
      </c>
      <c r="Q1127" s="985"/>
      <c r="R1127" s="985"/>
      <c r="S1127" s="985"/>
      <c r="T1127" s="1858">
        <f t="shared" si="217"/>
        <v>0</v>
      </c>
    </row>
    <row r="1128" spans="1:20" ht="22.2" hidden="1" customHeight="1">
      <c r="A1128" s="1444">
        <f>COUNTIF($C$12:C1128,"x")</f>
        <v>41</v>
      </c>
      <c r="B1128" s="1451" t="s">
        <v>2001</v>
      </c>
      <c r="C1128" s="966" t="str">
        <f t="shared" si="215"/>
        <v xml:space="preserve"> </v>
      </c>
      <c r="D1128" s="1411">
        <v>1</v>
      </c>
      <c r="E1128" s="976"/>
      <c r="F1128" s="988" t="str">
        <f>VLOOKUP($B1128,DG!A:D,DG!$C$2,)</f>
        <v>Máng che dây chằng dày 1,6mm</v>
      </c>
      <c r="G1128" s="976" t="str">
        <f>VLOOKUP($B1128,DG!A:D,DG!$D$2,)</f>
        <v>cái</v>
      </c>
      <c r="H1128" s="1689">
        <f t="shared" si="226"/>
        <v>0</v>
      </c>
      <c r="I1128" s="1689">
        <f t="shared" si="226"/>
        <v>0</v>
      </c>
      <c r="J1128" s="1689">
        <f t="shared" si="226"/>
        <v>0</v>
      </c>
      <c r="K1128" s="1689">
        <f t="shared" si="226"/>
        <v>0</v>
      </c>
      <c r="L1128" s="1689">
        <f t="shared" si="226"/>
        <v>0</v>
      </c>
      <c r="M1128" s="1689">
        <f t="shared" si="226"/>
        <v>0</v>
      </c>
      <c r="N1128" s="1689">
        <f t="shared" si="226"/>
        <v>0</v>
      </c>
      <c r="O1128" s="1689"/>
      <c r="P1128" s="1689">
        <f t="shared" si="227"/>
        <v>0</v>
      </c>
      <c r="Q1128" s="985"/>
      <c r="R1128" s="985"/>
      <c r="S1128" s="985"/>
      <c r="T1128" s="1858">
        <f t="shared" si="217"/>
        <v>0</v>
      </c>
    </row>
    <row r="1129" spans="1:20" ht="22.2" hidden="1" customHeight="1">
      <c r="A1129" s="1444">
        <f>COUNTIF($C$12:C1129,"x")</f>
        <v>41</v>
      </c>
      <c r="B1129" s="1451" t="s">
        <v>1918</v>
      </c>
      <c r="C1129" s="966" t="str">
        <f t="shared" si="215"/>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7"/>
        <v>0</v>
      </c>
      <c r="Q1129" s="990"/>
      <c r="R1129" s="990"/>
      <c r="S1129" s="990"/>
      <c r="T1129" s="1858">
        <f t="shared" si="217"/>
        <v>0</v>
      </c>
    </row>
    <row r="1130" spans="1:20" ht="22.2" hidden="1" customHeight="1">
      <c r="A1130" s="1444">
        <f>COUNTIF($C$12:C1130,"x")</f>
        <v>41</v>
      </c>
      <c r="B1130" s="1460" t="s">
        <v>356</v>
      </c>
      <c r="C1130" s="966" t="str">
        <f t="shared" si="215"/>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7"/>
        <v>0</v>
      </c>
    </row>
    <row r="1131" spans="1:20" ht="22.2" hidden="1" customHeight="1">
      <c r="A1131" s="1444">
        <f>COUNTIF($C$12:C1131,"x")</f>
        <v>41</v>
      </c>
      <c r="B1131" s="1448" t="s">
        <v>205</v>
      </c>
      <c r="C1131" s="966" t="str">
        <f t="shared" si="215"/>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2" hidden="1" customHeight="1">
      <c r="A1132" s="1444">
        <f>COUNTIF($C$12:C1132,"x")</f>
        <v>41</v>
      </c>
      <c r="B1132" s="1451" t="s">
        <v>1918</v>
      </c>
      <c r="C1132" s="966" t="str">
        <f t="shared" si="215"/>
        <v xml:space="preserve"> </v>
      </c>
      <c r="D1132" s="1411">
        <v>1</v>
      </c>
      <c r="E1132" s="976"/>
      <c r="F1132" s="981" t="s">
        <v>2460</v>
      </c>
      <c r="G1132" s="976" t="str">
        <f>VLOOKUP($B1132,DG!A:D,DG!$D$2,)</f>
        <v>bộ</v>
      </c>
      <c r="H1132" s="1689">
        <f t="shared" ref="H1132:N1134" si="228">H$1131*$D1132</f>
        <v>0</v>
      </c>
      <c r="I1132" s="1689">
        <f t="shared" si="228"/>
        <v>0</v>
      </c>
      <c r="J1132" s="1689">
        <f t="shared" si="228"/>
        <v>0</v>
      </c>
      <c r="K1132" s="1689">
        <f t="shared" si="228"/>
        <v>0</v>
      </c>
      <c r="L1132" s="1689">
        <f t="shared" si="228"/>
        <v>0</v>
      </c>
      <c r="M1132" s="1689">
        <f t="shared" si="228"/>
        <v>0</v>
      </c>
      <c r="N1132" s="1689">
        <f t="shared" si="228"/>
        <v>0</v>
      </c>
      <c r="O1132" s="1689"/>
      <c r="P1132" s="1689"/>
      <c r="Q1132" s="985"/>
      <c r="R1132" s="985"/>
      <c r="S1132" s="985"/>
      <c r="T1132" s="1858">
        <f t="shared" si="217"/>
        <v>0</v>
      </c>
    </row>
    <row r="1133" spans="1:20" ht="22.2" hidden="1" customHeight="1">
      <c r="A1133" s="1444">
        <f>COUNTIF($C$12:C1133,"x")</f>
        <v>41</v>
      </c>
      <c r="B1133" s="1451" t="s">
        <v>1906</v>
      </c>
      <c r="C1133" s="966" t="str">
        <f t="shared" si="215"/>
        <v xml:space="preserve"> </v>
      </c>
      <c r="D1133" s="1411">
        <v>1</v>
      </c>
      <c r="E1133" s="976"/>
      <c r="F1133" s="981" t="s">
        <v>2461</v>
      </c>
      <c r="G1133" s="976" t="str">
        <f>VLOOKUP($B1133,DG!A:D,DG!$D$2,)</f>
        <v>bộ</v>
      </c>
      <c r="H1133" s="1689">
        <f t="shared" si="228"/>
        <v>0</v>
      </c>
      <c r="I1133" s="1689">
        <f t="shared" si="228"/>
        <v>0</v>
      </c>
      <c r="J1133" s="1689">
        <f t="shared" si="228"/>
        <v>0</v>
      </c>
      <c r="K1133" s="1689">
        <f t="shared" si="228"/>
        <v>0</v>
      </c>
      <c r="L1133" s="1689">
        <f t="shared" si="228"/>
        <v>0</v>
      </c>
      <c r="M1133" s="1689">
        <f t="shared" si="228"/>
        <v>0</v>
      </c>
      <c r="N1133" s="1689">
        <f t="shared" si="228"/>
        <v>0</v>
      </c>
      <c r="O1133" s="1689"/>
      <c r="P1133" s="1689"/>
      <c r="Q1133" s="985"/>
      <c r="R1133" s="985"/>
      <c r="S1133" s="985"/>
      <c r="T1133" s="1858">
        <f t="shared" si="217"/>
        <v>0</v>
      </c>
    </row>
    <row r="1134" spans="1:20" ht="22.2" hidden="1" customHeight="1">
      <c r="A1134" s="1444">
        <f>COUNTIF($C$12:C1134,"x")</f>
        <v>41</v>
      </c>
      <c r="B1134" s="1460" t="s">
        <v>356</v>
      </c>
      <c r="C1134" s="966" t="str">
        <f t="shared" si="215"/>
        <v xml:space="preserve"> </v>
      </c>
      <c r="D1134" s="1410">
        <v>0.01</v>
      </c>
      <c r="E1134" s="976" t="str">
        <f>VLOOKUP($B1134,DG!A:C,2,)</f>
        <v>02.1421</v>
      </c>
      <c r="F1134" s="981" t="str">
        <f>VLOOKUP($B1134,DG!A:C,3,)</f>
        <v>V/c phụ kiện vào vị trí (cự ly &lt;=100m)</v>
      </c>
      <c r="G1134" s="976" t="str">
        <f>VLOOKUP($B1134,DG!A:D,4,0)</f>
        <v>tấn</v>
      </c>
      <c r="H1134" s="1689">
        <f t="shared" si="228"/>
        <v>0</v>
      </c>
      <c r="I1134" s="1689">
        <f t="shared" si="228"/>
        <v>0</v>
      </c>
      <c r="J1134" s="1689">
        <f t="shared" si="228"/>
        <v>0</v>
      </c>
      <c r="K1134" s="1689">
        <f t="shared" si="228"/>
        <v>0</v>
      </c>
      <c r="L1134" s="1689">
        <f t="shared" si="228"/>
        <v>0</v>
      </c>
      <c r="M1134" s="1689">
        <f t="shared" si="228"/>
        <v>0</v>
      </c>
      <c r="N1134" s="1689">
        <f t="shared" si="228"/>
        <v>0</v>
      </c>
      <c r="O1134" s="1689"/>
      <c r="P1134" s="1689"/>
      <c r="Q1134" s="985"/>
      <c r="R1134" s="985"/>
      <c r="S1134" s="985"/>
      <c r="T1134" s="1858">
        <f t="shared" si="217"/>
        <v>0</v>
      </c>
    </row>
    <row r="1135" spans="1:20" ht="22.2" hidden="1" customHeight="1">
      <c r="A1135" s="1444">
        <f>COUNTIF($C$12:C1135,"x")</f>
        <v>41</v>
      </c>
      <c r="B1135" s="1448" t="s">
        <v>632</v>
      </c>
      <c r="C1135" s="966" t="str">
        <f t="shared" si="215"/>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2" hidden="1" customHeight="1">
      <c r="A1136" s="1444">
        <f>COUNTIF($C$12:C1136,"x")</f>
        <v>41</v>
      </c>
      <c r="B1136" s="1451" t="s">
        <v>1061</v>
      </c>
      <c r="C1136" s="966" t="str">
        <f t="shared" si="215"/>
        <v xml:space="preserve"> </v>
      </c>
      <c r="D1136" s="1411">
        <v>1</v>
      </c>
      <c r="E1136" s="976"/>
      <c r="F1136" s="988" t="str">
        <f>VLOOKUP($B1136,DG!A:D,DG!$C$2,)</f>
        <v>Boulon mắt 16x250+ 2 long đền vuông D18-50x50x3/Zn</v>
      </c>
      <c r="G1136" s="976" t="str">
        <f>VLOOKUP($B1136,DG!A:D,DG!$D$2,)</f>
        <v>bộ</v>
      </c>
      <c r="H1136" s="1689">
        <f t="shared" ref="H1136:N1142" si="229">H$1135*$D1136</f>
        <v>0</v>
      </c>
      <c r="I1136" s="1689">
        <f t="shared" si="229"/>
        <v>0</v>
      </c>
      <c r="J1136" s="1689">
        <f t="shared" si="229"/>
        <v>0</v>
      </c>
      <c r="K1136" s="1689">
        <f t="shared" si="229"/>
        <v>0</v>
      </c>
      <c r="L1136" s="1689">
        <f t="shared" si="229"/>
        <v>0</v>
      </c>
      <c r="M1136" s="1689">
        <f t="shared" si="229"/>
        <v>0</v>
      </c>
      <c r="N1136" s="1689">
        <f t="shared" si="229"/>
        <v>0</v>
      </c>
      <c r="O1136" s="1689"/>
      <c r="P1136" s="1689"/>
      <c r="Q1136" s="985"/>
      <c r="R1136" s="985"/>
      <c r="S1136" s="985"/>
      <c r="T1136" s="1858">
        <f t="shared" si="217"/>
        <v>0</v>
      </c>
    </row>
    <row r="1137" spans="1:20" ht="22.2" hidden="1" customHeight="1">
      <c r="A1137" s="1444">
        <f>COUNTIF($C$12:C1137,"x")</f>
        <v>41</v>
      </c>
      <c r="B1137" s="1451" t="s">
        <v>111</v>
      </c>
      <c r="C1137" s="966" t="str">
        <f t="shared" si="215"/>
        <v xml:space="preserve"> </v>
      </c>
      <c r="D1137" s="1411">
        <v>1</v>
      </c>
      <c r="E1137" s="976"/>
      <c r="F1137" s="988" t="str">
        <f>VLOOKUP($B1137,DG!A:D,DG!$C$2,)</f>
        <v>Sứ chằng</v>
      </c>
      <c r="G1137" s="976" t="str">
        <f>VLOOKUP($B1137,DG!A:D,DG!$D$2,)</f>
        <v>cái</v>
      </c>
      <c r="H1137" s="1689">
        <f t="shared" si="229"/>
        <v>0</v>
      </c>
      <c r="I1137" s="1689">
        <f t="shared" si="229"/>
        <v>0</v>
      </c>
      <c r="J1137" s="1689">
        <f t="shared" si="229"/>
        <v>0</v>
      </c>
      <c r="K1137" s="1689">
        <f t="shared" si="229"/>
        <v>0</v>
      </c>
      <c r="L1137" s="1689">
        <f t="shared" si="229"/>
        <v>0</v>
      </c>
      <c r="M1137" s="1689">
        <f t="shared" si="229"/>
        <v>0</v>
      </c>
      <c r="N1137" s="1689">
        <f t="shared" si="229"/>
        <v>0</v>
      </c>
      <c r="O1137" s="1689"/>
      <c r="P1137" s="1689"/>
      <c r="Q1137" s="985"/>
      <c r="R1137" s="985"/>
      <c r="S1137" s="985"/>
      <c r="T1137" s="1858">
        <f t="shared" si="217"/>
        <v>0</v>
      </c>
    </row>
    <row r="1138" spans="1:20" ht="22.2" hidden="1" customHeight="1">
      <c r="A1138" s="1444">
        <f>COUNTIF($C$12:C1138,"x")</f>
        <v>41</v>
      </c>
      <c r="B1138" s="1451" t="s">
        <v>1578</v>
      </c>
      <c r="C1138" s="966" t="str">
        <f t="shared" si="215"/>
        <v xml:space="preserve"> </v>
      </c>
      <c r="D1138" s="1411">
        <v>4</v>
      </c>
      <c r="E1138" s="976"/>
      <c r="F1138" s="988" t="str">
        <f>VLOOKUP($B1138,DG!A:D,DG!$C$2,)</f>
        <v>Kẹp cáp 3 boulon</v>
      </c>
      <c r="G1138" s="976" t="str">
        <f>VLOOKUP($B1138,DG!A:D,DG!$D$2,)</f>
        <v>cái</v>
      </c>
      <c r="H1138" s="1689">
        <f t="shared" si="229"/>
        <v>0</v>
      </c>
      <c r="I1138" s="1689">
        <f t="shared" si="229"/>
        <v>0</v>
      </c>
      <c r="J1138" s="1689">
        <f t="shared" si="229"/>
        <v>0</v>
      </c>
      <c r="K1138" s="1689">
        <f t="shared" si="229"/>
        <v>0</v>
      </c>
      <c r="L1138" s="1689">
        <f t="shared" si="229"/>
        <v>0</v>
      </c>
      <c r="M1138" s="1689">
        <f t="shared" si="229"/>
        <v>0</v>
      </c>
      <c r="N1138" s="1689">
        <f t="shared" si="229"/>
        <v>0</v>
      </c>
      <c r="O1138" s="1689"/>
      <c r="P1138" s="1689"/>
      <c r="Q1138" s="985"/>
      <c r="R1138" s="985"/>
      <c r="S1138" s="985"/>
      <c r="T1138" s="1858">
        <f t="shared" si="217"/>
        <v>0</v>
      </c>
    </row>
    <row r="1139" spans="1:20" ht="22.2" hidden="1" customHeight="1">
      <c r="A1139" s="1444">
        <f>COUNTIF($C$12:C1139,"x")</f>
        <v>41</v>
      </c>
      <c r="B1139" s="1451" t="s">
        <v>275</v>
      </c>
      <c r="C1139" s="966" t="str">
        <f t="shared" si="215"/>
        <v xml:space="preserve"> </v>
      </c>
      <c r="D1139" s="1411">
        <f>15*0.38</f>
        <v>5.7</v>
      </c>
      <c r="E1139" s="976"/>
      <c r="F1139" s="988" t="str">
        <f>VLOOKUP($B1139,DG!A:D,DG!$C$2,)</f>
        <v>Cáp thép 3/8"</v>
      </c>
      <c r="G1139" s="976" t="str">
        <f>VLOOKUP($B1139,DG!A:D,DG!$D$2,)</f>
        <v>kg</v>
      </c>
      <c r="H1139" s="1689">
        <f t="shared" si="229"/>
        <v>0</v>
      </c>
      <c r="I1139" s="1689">
        <f t="shared" si="229"/>
        <v>0</v>
      </c>
      <c r="J1139" s="1689">
        <f t="shared" si="229"/>
        <v>0</v>
      </c>
      <c r="K1139" s="1689">
        <f t="shared" si="229"/>
        <v>0</v>
      </c>
      <c r="L1139" s="1689">
        <f t="shared" si="229"/>
        <v>0</v>
      </c>
      <c r="M1139" s="1689">
        <f t="shared" si="229"/>
        <v>0</v>
      </c>
      <c r="N1139" s="1689">
        <f t="shared" si="229"/>
        <v>0</v>
      </c>
      <c r="O1139" s="1689"/>
      <c r="P1139" s="1689"/>
      <c r="Q1139" s="985"/>
      <c r="R1139" s="985"/>
      <c r="S1139" s="985"/>
      <c r="T1139" s="1858">
        <f t="shared" si="217"/>
        <v>0</v>
      </c>
    </row>
    <row r="1140" spans="1:20" ht="22.2" hidden="1" customHeight="1">
      <c r="A1140" s="1444">
        <f>COUNTIF($C$12:C1140,"x")</f>
        <v>41</v>
      </c>
      <c r="B1140" s="1451" t="s">
        <v>188</v>
      </c>
      <c r="C1140" s="966" t="str">
        <f t="shared" si="215"/>
        <v xml:space="preserve"> </v>
      </c>
      <c r="D1140" s="1411">
        <v>1</v>
      </c>
      <c r="E1140" s="976"/>
      <c r="F1140" s="988" t="str">
        <f>VLOOKUP($B1140,DG!A:D,DG!$C$2,)</f>
        <v>Bộ chống chằng hẹp Ø60/50x1200+2BL12x40+BL16x200/50</v>
      </c>
      <c r="G1140" s="976" t="str">
        <f>VLOOKUP($B1140,DG!A:D,DG!$D$2,)</f>
        <v>bộ</v>
      </c>
      <c r="H1140" s="1689">
        <f t="shared" si="229"/>
        <v>0</v>
      </c>
      <c r="I1140" s="1689">
        <f t="shared" si="229"/>
        <v>0</v>
      </c>
      <c r="J1140" s="1689">
        <f t="shared" si="229"/>
        <v>0</v>
      </c>
      <c r="K1140" s="1689">
        <f t="shared" si="229"/>
        <v>0</v>
      </c>
      <c r="L1140" s="1689">
        <f t="shared" si="229"/>
        <v>0</v>
      </c>
      <c r="M1140" s="1689">
        <f t="shared" si="229"/>
        <v>0</v>
      </c>
      <c r="N1140" s="1689">
        <f t="shared" si="229"/>
        <v>0</v>
      </c>
      <c r="O1140" s="1689"/>
      <c r="P1140" s="1689"/>
      <c r="Q1140" s="985"/>
      <c r="R1140" s="985"/>
      <c r="S1140" s="985"/>
      <c r="T1140" s="1858">
        <f t="shared" si="217"/>
        <v>0</v>
      </c>
    </row>
    <row r="1141" spans="1:20" ht="22.2" hidden="1" customHeight="1">
      <c r="A1141" s="1444">
        <f>COUNTIF($C$12:C1141,"x")</f>
        <v>41</v>
      </c>
      <c r="B1141" s="1451" t="s">
        <v>2000</v>
      </c>
      <c r="C1141" s="966" t="str">
        <f t="shared" si="215"/>
        <v xml:space="preserve"> </v>
      </c>
      <c r="D1141" s="1411">
        <v>2</v>
      </c>
      <c r="E1141" s="976"/>
      <c r="F1141" s="988" t="str">
        <f>VLOOKUP($B1141,DG!A:D,DG!$C$2,)</f>
        <v>Yếm cáp dày 2mm</v>
      </c>
      <c r="G1141" s="976" t="str">
        <f>VLOOKUP($B1141,DG!A:D,DG!$D$2,)</f>
        <v>cái</v>
      </c>
      <c r="H1141" s="1689">
        <f t="shared" si="229"/>
        <v>0</v>
      </c>
      <c r="I1141" s="1689">
        <f t="shared" si="229"/>
        <v>0</v>
      </c>
      <c r="J1141" s="1689">
        <f t="shared" si="229"/>
        <v>0</v>
      </c>
      <c r="K1141" s="1689">
        <f t="shared" si="229"/>
        <v>0</v>
      </c>
      <c r="L1141" s="1689">
        <f t="shared" si="229"/>
        <v>0</v>
      </c>
      <c r="M1141" s="1689">
        <f t="shared" si="229"/>
        <v>0</v>
      </c>
      <c r="N1141" s="1689">
        <f t="shared" si="229"/>
        <v>0</v>
      </c>
      <c r="O1141" s="1689"/>
      <c r="P1141" s="1689"/>
      <c r="Q1141" s="985"/>
      <c r="R1141" s="985"/>
      <c r="S1141" s="985"/>
      <c r="T1141" s="1858">
        <f t="shared" si="217"/>
        <v>0</v>
      </c>
    </row>
    <row r="1142" spans="1:20" ht="22.2" hidden="1" customHeight="1">
      <c r="A1142" s="1444">
        <f>COUNTIF($C$12:C1142,"x")</f>
        <v>41</v>
      </c>
      <c r="B1142" s="1451" t="s">
        <v>2001</v>
      </c>
      <c r="C1142" s="966" t="str">
        <f t="shared" si="215"/>
        <v xml:space="preserve"> </v>
      </c>
      <c r="D1142" s="1411">
        <v>1</v>
      </c>
      <c r="E1142" s="976"/>
      <c r="F1142" s="988" t="str">
        <f>VLOOKUP($B1142,DG!A:D,DG!$C$2,)</f>
        <v>Máng che dây chằng dày 1,6mm</v>
      </c>
      <c r="G1142" s="976" t="str">
        <f>VLOOKUP($B1142,DG!A:D,DG!$D$2,)</f>
        <v>cái</v>
      </c>
      <c r="H1142" s="1689">
        <f t="shared" si="229"/>
        <v>0</v>
      </c>
      <c r="I1142" s="1689">
        <f t="shared" si="229"/>
        <v>0</v>
      </c>
      <c r="J1142" s="1689">
        <f t="shared" si="229"/>
        <v>0</v>
      </c>
      <c r="K1142" s="1689">
        <f t="shared" si="229"/>
        <v>0</v>
      </c>
      <c r="L1142" s="1689">
        <f t="shared" si="229"/>
        <v>0</v>
      </c>
      <c r="M1142" s="1689">
        <f t="shared" si="229"/>
        <v>0</v>
      </c>
      <c r="N1142" s="1689">
        <f t="shared" si="229"/>
        <v>0</v>
      </c>
      <c r="O1142" s="1689"/>
      <c r="P1142" s="1689"/>
      <c r="Q1142" s="985"/>
      <c r="R1142" s="985"/>
      <c r="S1142" s="985"/>
      <c r="T1142" s="1858">
        <f t="shared" si="217"/>
        <v>0</v>
      </c>
    </row>
    <row r="1143" spans="1:20" ht="22.2" hidden="1" customHeight="1">
      <c r="A1143" s="1444">
        <f>COUNTIF($C$12:C1143,"x")</f>
        <v>41</v>
      </c>
      <c r="B1143" s="1451" t="s">
        <v>1918</v>
      </c>
      <c r="C1143" s="966" t="str">
        <f t="shared" si="215"/>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7"/>
        <v>0</v>
      </c>
    </row>
    <row r="1144" spans="1:20" ht="22.2" hidden="1" customHeight="1">
      <c r="A1144" s="1444">
        <f>COUNTIF($C$12:C1144,"x")</f>
        <v>41</v>
      </c>
      <c r="B1144" s="1451" t="s">
        <v>1906</v>
      </c>
      <c r="C1144" s="966" t="str">
        <f t="shared" si="215"/>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7"/>
        <v>0</v>
      </c>
    </row>
    <row r="1145" spans="1:20" ht="22.2" hidden="1" customHeight="1">
      <c r="A1145" s="1444">
        <f>COUNTIF($C$12:C1145,"x")</f>
        <v>41</v>
      </c>
      <c r="B1145" s="1460" t="s">
        <v>356</v>
      </c>
      <c r="C1145" s="966" t="str">
        <f t="shared" si="215"/>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7"/>
        <v>0</v>
      </c>
    </row>
    <row r="1146" spans="1:20" ht="22.2" hidden="1" customHeight="1">
      <c r="A1146" s="1444">
        <f>COUNTIF($C$12:C1146,"x")</f>
        <v>41</v>
      </c>
      <c r="B1146" s="1448" t="s">
        <v>835</v>
      </c>
      <c r="C1146" s="966" t="str">
        <f t="shared" si="215"/>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2" hidden="1" customHeight="1">
      <c r="A1147" s="1444">
        <f>COUNTIF($C$12:C1147,"x")</f>
        <v>41</v>
      </c>
      <c r="B1147" s="1451" t="s">
        <v>1061</v>
      </c>
      <c r="C1147" s="966" t="str">
        <f t="shared" si="215"/>
        <v xml:space="preserve"> </v>
      </c>
      <c r="D1147" s="1411">
        <v>1</v>
      </c>
      <c r="E1147" s="976"/>
      <c r="F1147" s="988" t="str">
        <f>VLOOKUP($B1147,DG!A:D,DG!$C$2,)</f>
        <v>Boulon mắt 16x250+ 2 long đền vuông D18-50x50x3/Zn</v>
      </c>
      <c r="G1147" s="976" t="str">
        <f>VLOOKUP($B1147,DG!A:D,DG!$D$2,)</f>
        <v>bộ</v>
      </c>
      <c r="H1147" s="1689">
        <f t="shared" ref="H1147:N1152" si="230">H$1146*$D1147</f>
        <v>0</v>
      </c>
      <c r="I1147" s="1689">
        <f t="shared" si="230"/>
        <v>0</v>
      </c>
      <c r="J1147" s="1689">
        <f t="shared" si="230"/>
        <v>0</v>
      </c>
      <c r="K1147" s="1689">
        <f t="shared" si="230"/>
        <v>0</v>
      </c>
      <c r="L1147" s="1689">
        <f t="shared" si="230"/>
        <v>0</v>
      </c>
      <c r="M1147" s="1689">
        <f t="shared" si="230"/>
        <v>0</v>
      </c>
      <c r="N1147" s="1689">
        <f t="shared" si="230"/>
        <v>0</v>
      </c>
      <c r="O1147" s="1689"/>
      <c r="P1147" s="1689"/>
      <c r="Q1147" s="985"/>
      <c r="R1147" s="985"/>
      <c r="S1147" s="985"/>
      <c r="T1147" s="1858">
        <f t="shared" si="217"/>
        <v>0</v>
      </c>
    </row>
    <row r="1148" spans="1:20" ht="22.2" hidden="1" customHeight="1">
      <c r="A1148" s="1444">
        <f>COUNTIF($C$12:C1148,"x")</f>
        <v>41</v>
      </c>
      <c r="B1148" s="1451" t="s">
        <v>111</v>
      </c>
      <c r="C1148" s="966" t="str">
        <f t="shared" si="215"/>
        <v xml:space="preserve"> </v>
      </c>
      <c r="D1148" s="1411">
        <v>1</v>
      </c>
      <c r="E1148" s="976"/>
      <c r="F1148" s="988" t="str">
        <f>VLOOKUP($B1148,DG!A:D,DG!$C$2,)</f>
        <v>Sứ chằng</v>
      </c>
      <c r="G1148" s="976" t="str">
        <f>VLOOKUP($B1148,DG!A:D,DG!$D$2,)</f>
        <v>cái</v>
      </c>
      <c r="H1148" s="1689">
        <f t="shared" si="230"/>
        <v>0</v>
      </c>
      <c r="I1148" s="1689">
        <f t="shared" si="230"/>
        <v>0</v>
      </c>
      <c r="J1148" s="1689">
        <f t="shared" si="230"/>
        <v>0</v>
      </c>
      <c r="K1148" s="1689">
        <f t="shared" si="230"/>
        <v>0</v>
      </c>
      <c r="L1148" s="1689">
        <f t="shared" si="230"/>
        <v>0</v>
      </c>
      <c r="M1148" s="1689">
        <f t="shared" si="230"/>
        <v>0</v>
      </c>
      <c r="N1148" s="1689">
        <f t="shared" si="230"/>
        <v>0</v>
      </c>
      <c r="O1148" s="1689"/>
      <c r="P1148" s="1689"/>
      <c r="Q1148" s="985"/>
      <c r="R1148" s="985"/>
      <c r="S1148" s="985"/>
      <c r="T1148" s="1858">
        <f t="shared" si="217"/>
        <v>0</v>
      </c>
    </row>
    <row r="1149" spans="1:20" ht="22.2" hidden="1" customHeight="1">
      <c r="A1149" s="1444">
        <f>COUNTIF($C$12:C1149,"x")</f>
        <v>41</v>
      </c>
      <c r="B1149" s="1451" t="s">
        <v>1578</v>
      </c>
      <c r="C1149" s="966" t="str">
        <f t="shared" si="215"/>
        <v xml:space="preserve"> </v>
      </c>
      <c r="D1149" s="1411">
        <v>8</v>
      </c>
      <c r="E1149" s="976"/>
      <c r="F1149" s="988" t="str">
        <f>VLOOKUP($B1149,DG!A:D,DG!$C$2,)</f>
        <v>Kẹp cáp 3 boulon</v>
      </c>
      <c r="G1149" s="976" t="str">
        <f>VLOOKUP($B1149,DG!A:D,DG!$D$2,)</f>
        <v>cái</v>
      </c>
      <c r="H1149" s="1689">
        <f t="shared" si="230"/>
        <v>0</v>
      </c>
      <c r="I1149" s="1689">
        <f t="shared" si="230"/>
        <v>0</v>
      </c>
      <c r="J1149" s="1689">
        <f t="shared" si="230"/>
        <v>0</v>
      </c>
      <c r="K1149" s="1689">
        <f t="shared" si="230"/>
        <v>0</v>
      </c>
      <c r="L1149" s="1689">
        <f t="shared" si="230"/>
        <v>0</v>
      </c>
      <c r="M1149" s="1689">
        <f t="shared" si="230"/>
        <v>0</v>
      </c>
      <c r="N1149" s="1689">
        <f t="shared" si="230"/>
        <v>0</v>
      </c>
      <c r="O1149" s="1689"/>
      <c r="P1149" s="1689"/>
      <c r="Q1149" s="985"/>
      <c r="R1149" s="985"/>
      <c r="S1149" s="985"/>
      <c r="T1149" s="1858">
        <f t="shared" ref="T1149:T1214" si="231">IFERROR(HLOOKUP(B1149,BangKeTru,3,0),0)</f>
        <v>0</v>
      </c>
    </row>
    <row r="1150" spans="1:20" ht="22.2" hidden="1" customHeight="1">
      <c r="A1150" s="1444">
        <f>COUNTIF($C$12:C1150,"x")</f>
        <v>41</v>
      </c>
      <c r="B1150" s="1451" t="s">
        <v>275</v>
      </c>
      <c r="C1150" s="966" t="str">
        <f t="shared" si="215"/>
        <v xml:space="preserve"> </v>
      </c>
      <c r="D1150" s="1411">
        <v>16</v>
      </c>
      <c r="E1150" s="976"/>
      <c r="F1150" s="988" t="str">
        <f>VLOOKUP($B1150,DG!A:D,DG!$C$2,)</f>
        <v>Cáp thép 3/8"</v>
      </c>
      <c r="G1150" s="976" t="str">
        <f>VLOOKUP($B1150,DG!A:D,DG!$D$2,)</f>
        <v>kg</v>
      </c>
      <c r="H1150" s="1689">
        <f t="shared" si="230"/>
        <v>0</v>
      </c>
      <c r="I1150" s="1689">
        <f t="shared" si="230"/>
        <v>0</v>
      </c>
      <c r="J1150" s="1689">
        <f t="shared" si="230"/>
        <v>0</v>
      </c>
      <c r="K1150" s="1689">
        <f t="shared" si="230"/>
        <v>0</v>
      </c>
      <c r="L1150" s="1689">
        <f t="shared" si="230"/>
        <v>0</v>
      </c>
      <c r="M1150" s="1689">
        <f t="shared" si="230"/>
        <v>0</v>
      </c>
      <c r="N1150" s="1689">
        <f t="shared" si="230"/>
        <v>0</v>
      </c>
      <c r="O1150" s="1689"/>
      <c r="P1150" s="1689"/>
      <c r="Q1150" s="985"/>
      <c r="R1150" s="985"/>
      <c r="S1150" s="985"/>
      <c r="T1150" s="1858">
        <f t="shared" si="231"/>
        <v>0</v>
      </c>
    </row>
    <row r="1151" spans="1:20" ht="22.2" hidden="1" customHeight="1">
      <c r="A1151" s="1444">
        <f>COUNTIF($C$12:C1151,"x")</f>
        <v>41</v>
      </c>
      <c r="B1151" s="1451" t="s">
        <v>2000</v>
      </c>
      <c r="C1151" s="966" t="str">
        <f t="shared" si="215"/>
        <v xml:space="preserve"> </v>
      </c>
      <c r="D1151" s="1411">
        <v>2</v>
      </c>
      <c r="E1151" s="976"/>
      <c r="F1151" s="988" t="str">
        <f>VLOOKUP($B1151,DG!A:D,DG!$C$2,)</f>
        <v>Yếm cáp dày 2mm</v>
      </c>
      <c r="G1151" s="976" t="str">
        <f>VLOOKUP($B1151,DG!A:D,DG!$D$2,)</f>
        <v>cái</v>
      </c>
      <c r="H1151" s="1689">
        <f t="shared" si="230"/>
        <v>0</v>
      </c>
      <c r="I1151" s="1689">
        <f t="shared" si="230"/>
        <v>0</v>
      </c>
      <c r="J1151" s="1689">
        <f t="shared" si="230"/>
        <v>0</v>
      </c>
      <c r="K1151" s="1689">
        <f t="shared" si="230"/>
        <v>0</v>
      </c>
      <c r="L1151" s="1689">
        <f t="shared" si="230"/>
        <v>0</v>
      </c>
      <c r="M1151" s="1689">
        <f t="shared" si="230"/>
        <v>0</v>
      </c>
      <c r="N1151" s="1689">
        <f t="shared" si="230"/>
        <v>0</v>
      </c>
      <c r="O1151" s="1689"/>
      <c r="P1151" s="1689"/>
      <c r="Q1151" s="985"/>
      <c r="R1151" s="985"/>
      <c r="S1151" s="985"/>
      <c r="T1151" s="1858">
        <f t="shared" si="231"/>
        <v>0</v>
      </c>
    </row>
    <row r="1152" spans="1:20" ht="22.2" hidden="1" customHeight="1">
      <c r="A1152" s="1444">
        <f>COUNTIF($C$12:C1152,"x")</f>
        <v>41</v>
      </c>
      <c r="B1152" s="1451" t="s">
        <v>2001</v>
      </c>
      <c r="C1152" s="966" t="str">
        <f t="shared" si="215"/>
        <v xml:space="preserve"> </v>
      </c>
      <c r="D1152" s="1411">
        <v>1</v>
      </c>
      <c r="E1152" s="976"/>
      <c r="F1152" s="988" t="str">
        <f>VLOOKUP($B1152,DG!A:D,DG!$C$2,)</f>
        <v>Máng che dây chằng dày 1,6mm</v>
      </c>
      <c r="G1152" s="976" t="str">
        <f>VLOOKUP($B1152,DG!A:D,DG!$D$2,)</f>
        <v>cái</v>
      </c>
      <c r="H1152" s="1689">
        <f t="shared" si="230"/>
        <v>0</v>
      </c>
      <c r="I1152" s="1689">
        <f t="shared" si="230"/>
        <v>0</v>
      </c>
      <c r="J1152" s="1689">
        <f t="shared" si="230"/>
        <v>0</v>
      </c>
      <c r="K1152" s="1689">
        <f t="shared" si="230"/>
        <v>0</v>
      </c>
      <c r="L1152" s="1689">
        <f t="shared" si="230"/>
        <v>0</v>
      </c>
      <c r="M1152" s="1689">
        <f t="shared" si="230"/>
        <v>0</v>
      </c>
      <c r="N1152" s="1689">
        <f t="shared" si="230"/>
        <v>0</v>
      </c>
      <c r="O1152" s="1689"/>
      <c r="P1152" s="1689"/>
      <c r="Q1152" s="985"/>
      <c r="R1152" s="985"/>
      <c r="S1152" s="985"/>
      <c r="T1152" s="1858">
        <f t="shared" si="231"/>
        <v>0</v>
      </c>
    </row>
    <row r="1153" spans="1:20" ht="22.2" hidden="1" customHeight="1">
      <c r="A1153" s="1444">
        <f>COUNTIF($C$12:C1153,"x")</f>
        <v>41</v>
      </c>
      <c r="B1153" s="1451" t="s">
        <v>1918</v>
      </c>
      <c r="C1153" s="966" t="str">
        <f t="shared" si="215"/>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31"/>
        <v>0</v>
      </c>
    </row>
    <row r="1154" spans="1:20" ht="22.2" hidden="1" customHeight="1">
      <c r="A1154" s="1444">
        <f>COUNTIF($C$12:C1154,"x")</f>
        <v>41</v>
      </c>
      <c r="B1154" s="1460" t="s">
        <v>356</v>
      </c>
      <c r="C1154" s="966" t="str">
        <f t="shared" si="215"/>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31"/>
        <v>0</v>
      </c>
    </row>
    <row r="1155" spans="1:20" ht="22.2" hidden="1" customHeight="1">
      <c r="A1155" s="1444">
        <f>COUNTIF($C$12:C1155,"x")</f>
        <v>41</v>
      </c>
      <c r="B1155" s="1448" t="s">
        <v>836</v>
      </c>
      <c r="C1155" s="966" t="str">
        <f t="shared" si="215"/>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2" hidden="1" customHeight="1">
      <c r="A1156" s="1444">
        <f>COUNTIF($C$12:C1156,"x")</f>
        <v>41</v>
      </c>
      <c r="B1156" s="1451" t="s">
        <v>417</v>
      </c>
      <c r="C1156" s="966" t="str">
        <f t="shared" si="215"/>
        <v xml:space="preserve"> </v>
      </c>
      <c r="D1156" s="1411">
        <v>1</v>
      </c>
      <c r="E1156" s="976"/>
      <c r="F1156" s="988" t="str">
        <f>VLOOKUP($B1156,DG!A:D,DG!$C$2,)</f>
        <v>Boulon mắt 16x300+ 2 long đền vuông D18-50x50x3/Zn</v>
      </c>
      <c r="G1156" s="976" t="str">
        <f>VLOOKUP($B1156,DG!A:D,DG!$D$2,)</f>
        <v>bộ</v>
      </c>
      <c r="H1156" s="1689">
        <f t="shared" ref="H1156:N1162" si="232">H$1155*$D1156</f>
        <v>0</v>
      </c>
      <c r="I1156" s="1689">
        <f t="shared" si="232"/>
        <v>0</v>
      </c>
      <c r="J1156" s="1689">
        <f t="shared" si="232"/>
        <v>0</v>
      </c>
      <c r="K1156" s="1689">
        <f t="shared" si="232"/>
        <v>0</v>
      </c>
      <c r="L1156" s="1689">
        <f t="shared" si="232"/>
        <v>0</v>
      </c>
      <c r="M1156" s="1689">
        <f t="shared" si="232"/>
        <v>0</v>
      </c>
      <c r="N1156" s="1689">
        <f t="shared" si="232"/>
        <v>0</v>
      </c>
      <c r="O1156" s="1689"/>
      <c r="P1156" s="1689"/>
      <c r="Q1156" s="985"/>
      <c r="R1156" s="985"/>
      <c r="S1156" s="985"/>
      <c r="T1156" s="1858">
        <f t="shared" si="231"/>
        <v>0</v>
      </c>
    </row>
    <row r="1157" spans="1:20" ht="22.2" hidden="1" customHeight="1">
      <c r="A1157" s="1444">
        <f>COUNTIF($C$12:C1157,"x")</f>
        <v>41</v>
      </c>
      <c r="B1157" s="1451" t="s">
        <v>111</v>
      </c>
      <c r="C1157" s="966" t="str">
        <f t="shared" ref="C1157:C1222" si="233">IF(OR(P1157&lt;&gt;0,H1157&lt;&gt;0),"x"," ")</f>
        <v xml:space="preserve"> </v>
      </c>
      <c r="D1157" s="1411">
        <v>1</v>
      </c>
      <c r="E1157" s="976"/>
      <c r="F1157" s="988" t="str">
        <f>VLOOKUP($B1157,DG!A:D,DG!$C$2,)</f>
        <v>Sứ chằng</v>
      </c>
      <c r="G1157" s="976" t="str">
        <f>VLOOKUP($B1157,DG!A:D,DG!$D$2,)</f>
        <v>cái</v>
      </c>
      <c r="H1157" s="1689">
        <f t="shared" si="232"/>
        <v>0</v>
      </c>
      <c r="I1157" s="1689">
        <f t="shared" si="232"/>
        <v>0</v>
      </c>
      <c r="J1157" s="1689">
        <f t="shared" si="232"/>
        <v>0</v>
      </c>
      <c r="K1157" s="1689">
        <f t="shared" si="232"/>
        <v>0</v>
      </c>
      <c r="L1157" s="1689">
        <f t="shared" si="232"/>
        <v>0</v>
      </c>
      <c r="M1157" s="1689">
        <f t="shared" si="232"/>
        <v>0</v>
      </c>
      <c r="N1157" s="1689">
        <f t="shared" si="232"/>
        <v>0</v>
      </c>
      <c r="O1157" s="1689"/>
      <c r="P1157" s="1689"/>
      <c r="Q1157" s="985"/>
      <c r="R1157" s="985"/>
      <c r="S1157" s="985"/>
      <c r="T1157" s="1858">
        <f t="shared" si="231"/>
        <v>0</v>
      </c>
    </row>
    <row r="1158" spans="1:20" ht="22.2" hidden="1" customHeight="1">
      <c r="A1158" s="1444">
        <f>COUNTIF($C$12:C1158,"x")</f>
        <v>41</v>
      </c>
      <c r="B1158" s="1451" t="s">
        <v>1578</v>
      </c>
      <c r="C1158" s="966" t="str">
        <f t="shared" si="233"/>
        <v xml:space="preserve"> </v>
      </c>
      <c r="D1158" s="1411">
        <v>8</v>
      </c>
      <c r="E1158" s="976"/>
      <c r="F1158" s="988" t="str">
        <f>VLOOKUP($B1158,DG!A:D,DG!$C$2,)</f>
        <v>Kẹp cáp 3 boulon</v>
      </c>
      <c r="G1158" s="976" t="str">
        <f>VLOOKUP($B1158,DG!A:D,DG!$D$2,)</f>
        <v>cái</v>
      </c>
      <c r="H1158" s="1689">
        <f t="shared" si="232"/>
        <v>0</v>
      </c>
      <c r="I1158" s="1689">
        <f t="shared" si="232"/>
        <v>0</v>
      </c>
      <c r="J1158" s="1689">
        <f t="shared" si="232"/>
        <v>0</v>
      </c>
      <c r="K1158" s="1689">
        <f t="shared" si="232"/>
        <v>0</v>
      </c>
      <c r="L1158" s="1689">
        <f t="shared" si="232"/>
        <v>0</v>
      </c>
      <c r="M1158" s="1689">
        <f t="shared" si="232"/>
        <v>0</v>
      </c>
      <c r="N1158" s="1689">
        <f t="shared" si="232"/>
        <v>0</v>
      </c>
      <c r="O1158" s="1689"/>
      <c r="P1158" s="1689"/>
      <c r="Q1158" s="985"/>
      <c r="R1158" s="985"/>
      <c r="S1158" s="985"/>
      <c r="T1158" s="1858">
        <f t="shared" si="231"/>
        <v>0</v>
      </c>
    </row>
    <row r="1159" spans="1:20" ht="22.2" hidden="1" customHeight="1">
      <c r="A1159" s="1444">
        <f>COUNTIF($C$12:C1159,"x")</f>
        <v>41</v>
      </c>
      <c r="B1159" s="1451" t="s">
        <v>275</v>
      </c>
      <c r="C1159" s="966" t="str">
        <f t="shared" si="233"/>
        <v xml:space="preserve"> </v>
      </c>
      <c r="D1159" s="1411">
        <v>11</v>
      </c>
      <c r="E1159" s="976"/>
      <c r="F1159" s="988" t="str">
        <f>VLOOKUP($B1159,DG!A:D,DG!$C$2,)</f>
        <v>Cáp thép 3/8"</v>
      </c>
      <c r="G1159" s="976" t="str">
        <f>VLOOKUP($B1159,DG!A:D,DG!$D$2,)</f>
        <v>kg</v>
      </c>
      <c r="H1159" s="1689">
        <f t="shared" si="232"/>
        <v>0</v>
      </c>
      <c r="I1159" s="1689">
        <f t="shared" si="232"/>
        <v>0</v>
      </c>
      <c r="J1159" s="1689">
        <f t="shared" si="232"/>
        <v>0</v>
      </c>
      <c r="K1159" s="1689">
        <f t="shared" si="232"/>
        <v>0</v>
      </c>
      <c r="L1159" s="1689">
        <f t="shared" si="232"/>
        <v>0</v>
      </c>
      <c r="M1159" s="1689">
        <f t="shared" si="232"/>
        <v>0</v>
      </c>
      <c r="N1159" s="1689">
        <f t="shared" si="232"/>
        <v>0</v>
      </c>
      <c r="O1159" s="1689"/>
      <c r="P1159" s="1689"/>
      <c r="Q1159" s="985"/>
      <c r="R1159" s="985"/>
      <c r="S1159" s="985"/>
      <c r="T1159" s="1858">
        <f t="shared" si="231"/>
        <v>0</v>
      </c>
    </row>
    <row r="1160" spans="1:20" ht="22.2" hidden="1" customHeight="1">
      <c r="A1160" s="1444">
        <f>COUNTIF($C$12:C1160,"x")</f>
        <v>41</v>
      </c>
      <c r="B1160" s="1451" t="s">
        <v>607</v>
      </c>
      <c r="C1160" s="966" t="str">
        <f t="shared" si="233"/>
        <v xml:space="preserve"> </v>
      </c>
      <c r="D1160" s="1411">
        <v>1</v>
      </c>
      <c r="E1160" s="976"/>
      <c r="F1160" s="988" t="str">
        <f>VLOOKUP($B1160,DG!A:D,DG!$C$2,)</f>
        <v>Bộ chống chằng hẹp Ø60/50x1500+2BL12x40+BL16x250/80</v>
      </c>
      <c r="G1160" s="976" t="str">
        <f>VLOOKUP($B1160,DG!A:D,DG!$D$2,)</f>
        <v>bộ</v>
      </c>
      <c r="H1160" s="1689">
        <f t="shared" si="232"/>
        <v>0</v>
      </c>
      <c r="I1160" s="1689">
        <f t="shared" si="232"/>
        <v>0</v>
      </c>
      <c r="J1160" s="1689">
        <f t="shared" si="232"/>
        <v>0</v>
      </c>
      <c r="K1160" s="1689">
        <f t="shared" si="232"/>
        <v>0</v>
      </c>
      <c r="L1160" s="1689">
        <f t="shared" si="232"/>
        <v>0</v>
      </c>
      <c r="M1160" s="1689">
        <f t="shared" si="232"/>
        <v>0</v>
      </c>
      <c r="N1160" s="1689">
        <f t="shared" si="232"/>
        <v>0</v>
      </c>
      <c r="O1160" s="1689"/>
      <c r="P1160" s="1689"/>
      <c r="Q1160" s="985"/>
      <c r="R1160" s="985"/>
      <c r="S1160" s="985"/>
      <c r="T1160" s="1858">
        <f t="shared" si="231"/>
        <v>0</v>
      </c>
    </row>
    <row r="1161" spans="1:20" ht="22.2" hidden="1" customHeight="1">
      <c r="A1161" s="1444">
        <f>COUNTIF($C$12:C1161,"x")</f>
        <v>41</v>
      </c>
      <c r="B1161" s="1451" t="s">
        <v>2000</v>
      </c>
      <c r="C1161" s="966" t="str">
        <f t="shared" si="233"/>
        <v xml:space="preserve"> </v>
      </c>
      <c r="D1161" s="1411">
        <v>2</v>
      </c>
      <c r="E1161" s="976"/>
      <c r="F1161" s="988" t="str">
        <f>VLOOKUP($B1161,DG!A:D,DG!$C$2,)</f>
        <v>Yếm cáp dày 2mm</v>
      </c>
      <c r="G1161" s="976" t="str">
        <f>VLOOKUP($B1161,DG!A:D,DG!$D$2,)</f>
        <v>cái</v>
      </c>
      <c r="H1161" s="1689">
        <f t="shared" si="232"/>
        <v>0</v>
      </c>
      <c r="I1161" s="1689">
        <f t="shared" si="232"/>
        <v>0</v>
      </c>
      <c r="J1161" s="1689">
        <f t="shared" si="232"/>
        <v>0</v>
      </c>
      <c r="K1161" s="1689">
        <f t="shared" si="232"/>
        <v>0</v>
      </c>
      <c r="L1161" s="1689">
        <f t="shared" si="232"/>
        <v>0</v>
      </c>
      <c r="M1161" s="1689">
        <f t="shared" si="232"/>
        <v>0</v>
      </c>
      <c r="N1161" s="1689">
        <f t="shared" si="232"/>
        <v>0</v>
      </c>
      <c r="O1161" s="1689"/>
      <c r="P1161" s="1689"/>
      <c r="Q1161" s="985"/>
      <c r="R1161" s="985"/>
      <c r="S1161" s="985"/>
      <c r="T1161" s="1858">
        <f t="shared" si="231"/>
        <v>0</v>
      </c>
    </row>
    <row r="1162" spans="1:20" ht="22.2" hidden="1" customHeight="1">
      <c r="A1162" s="1444">
        <f>COUNTIF($C$12:C1162,"x")</f>
        <v>41</v>
      </c>
      <c r="B1162" s="1451" t="s">
        <v>2001</v>
      </c>
      <c r="C1162" s="966" t="str">
        <f t="shared" si="233"/>
        <v xml:space="preserve"> </v>
      </c>
      <c r="D1162" s="1411">
        <v>1</v>
      </c>
      <c r="E1162" s="976"/>
      <c r="F1162" s="988" t="str">
        <f>VLOOKUP($B1162,DG!A:D,DG!$C$2,)</f>
        <v>Máng che dây chằng dày 1,6mm</v>
      </c>
      <c r="G1162" s="976" t="str">
        <f>VLOOKUP($B1162,DG!A:D,DG!$D$2,)</f>
        <v>cái</v>
      </c>
      <c r="H1162" s="1689">
        <f t="shared" si="232"/>
        <v>0</v>
      </c>
      <c r="I1162" s="1689">
        <f t="shared" si="232"/>
        <v>0</v>
      </c>
      <c r="J1162" s="1689">
        <f t="shared" si="232"/>
        <v>0</v>
      </c>
      <c r="K1162" s="1689">
        <f t="shared" si="232"/>
        <v>0</v>
      </c>
      <c r="L1162" s="1689">
        <f t="shared" si="232"/>
        <v>0</v>
      </c>
      <c r="M1162" s="1689">
        <f t="shared" si="232"/>
        <v>0</v>
      </c>
      <c r="N1162" s="1689">
        <f t="shared" si="232"/>
        <v>0</v>
      </c>
      <c r="O1162" s="1689"/>
      <c r="P1162" s="1689"/>
      <c r="Q1162" s="985"/>
      <c r="R1162" s="985"/>
      <c r="S1162" s="985"/>
      <c r="T1162" s="1858">
        <f t="shared" si="231"/>
        <v>0</v>
      </c>
    </row>
    <row r="1163" spans="1:20" ht="22.2" hidden="1" customHeight="1">
      <c r="A1163" s="1444">
        <f>COUNTIF($C$12:C1163,"x")</f>
        <v>41</v>
      </c>
      <c r="B1163" s="1451" t="s">
        <v>1918</v>
      </c>
      <c r="C1163" s="966" t="str">
        <f t="shared" si="233"/>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31"/>
        <v>0</v>
      </c>
    </row>
    <row r="1164" spans="1:20" ht="22.2" hidden="1" customHeight="1">
      <c r="A1164" s="1444">
        <f>COUNTIF($C$12:C1164,"x")</f>
        <v>41</v>
      </c>
      <c r="B1164" s="1451" t="s">
        <v>1906</v>
      </c>
      <c r="C1164" s="966" t="str">
        <f t="shared" si="233"/>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31"/>
        <v>0</v>
      </c>
    </row>
    <row r="1165" spans="1:20" ht="22.2" hidden="1" customHeight="1">
      <c r="A1165" s="1444">
        <f>COUNTIF($C$12:C1165,"x")</f>
        <v>41</v>
      </c>
      <c r="B1165" s="1460" t="s">
        <v>356</v>
      </c>
      <c r="C1165" s="966" t="str">
        <f t="shared" si="233"/>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31"/>
        <v>0</v>
      </c>
    </row>
    <row r="1166" spans="1:20" ht="22.2" hidden="1" customHeight="1">
      <c r="A1166" s="1444">
        <f>COUNTIF($C$12:C1166,"x")</f>
        <v>41</v>
      </c>
      <c r="B1166" s="1448" t="s">
        <v>837</v>
      </c>
      <c r="C1166" s="966" t="str">
        <f t="shared" si="233"/>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2" hidden="1" customHeight="1">
      <c r="A1167" s="1444">
        <f>COUNTIF($C$12:C1167,"x")</f>
        <v>41</v>
      </c>
      <c r="B1167" s="1451" t="s">
        <v>1061</v>
      </c>
      <c r="C1167" s="966" t="str">
        <f t="shared" si="233"/>
        <v xml:space="preserve"> </v>
      </c>
      <c r="D1167" s="1411">
        <v>2</v>
      </c>
      <c r="E1167" s="976"/>
      <c r="F1167" s="988" t="str">
        <f>VLOOKUP($B1167,DG!A:D,DG!$C$2,)</f>
        <v>Boulon mắt 16x250+ 2 long đền vuông D18-50x50x3/Zn</v>
      </c>
      <c r="G1167" s="976" t="str">
        <f>VLOOKUP($B1167,DG!A:D,DG!$D$2,)</f>
        <v>bộ</v>
      </c>
      <c r="H1167" s="1689">
        <f t="shared" ref="H1167:N1172" si="234">H$1166*$D1167</f>
        <v>0</v>
      </c>
      <c r="I1167" s="1689">
        <f t="shared" si="234"/>
        <v>0</v>
      </c>
      <c r="J1167" s="1689">
        <f t="shared" si="234"/>
        <v>0</v>
      </c>
      <c r="K1167" s="1689">
        <f t="shared" si="234"/>
        <v>0</v>
      </c>
      <c r="L1167" s="1689">
        <f t="shared" si="234"/>
        <v>0</v>
      </c>
      <c r="M1167" s="1689">
        <f t="shared" si="234"/>
        <v>0</v>
      </c>
      <c r="N1167" s="1689">
        <f t="shared" si="234"/>
        <v>0</v>
      </c>
      <c r="O1167" s="1689"/>
      <c r="P1167" s="1689"/>
      <c r="Q1167" s="985"/>
      <c r="R1167" s="985"/>
      <c r="S1167" s="985"/>
      <c r="T1167" s="1858">
        <f t="shared" si="231"/>
        <v>0</v>
      </c>
    </row>
    <row r="1168" spans="1:20" ht="22.2" hidden="1" customHeight="1">
      <c r="A1168" s="1444">
        <f>COUNTIF($C$12:C1168,"x")</f>
        <v>41</v>
      </c>
      <c r="B1168" s="1451" t="s">
        <v>111</v>
      </c>
      <c r="C1168" s="966" t="str">
        <f t="shared" si="233"/>
        <v xml:space="preserve"> </v>
      </c>
      <c r="D1168" s="1411">
        <v>2</v>
      </c>
      <c r="E1168" s="976"/>
      <c r="F1168" s="988" t="str">
        <f>VLOOKUP($B1168,DG!A:D,DG!$C$2,)</f>
        <v>Sứ chằng</v>
      </c>
      <c r="G1168" s="976" t="str">
        <f>VLOOKUP($B1168,DG!A:D,DG!$D$2,)</f>
        <v>cái</v>
      </c>
      <c r="H1168" s="1689">
        <f t="shared" si="234"/>
        <v>0</v>
      </c>
      <c r="I1168" s="1689">
        <f t="shared" si="234"/>
        <v>0</v>
      </c>
      <c r="J1168" s="1689">
        <f t="shared" si="234"/>
        <v>0</v>
      </c>
      <c r="K1168" s="1689">
        <f t="shared" si="234"/>
        <v>0</v>
      </c>
      <c r="L1168" s="1689">
        <f t="shared" si="234"/>
        <v>0</v>
      </c>
      <c r="M1168" s="1689">
        <f t="shared" si="234"/>
        <v>0</v>
      </c>
      <c r="N1168" s="1689">
        <f t="shared" si="234"/>
        <v>0</v>
      </c>
      <c r="O1168" s="1689"/>
      <c r="P1168" s="1689"/>
      <c r="Q1168" s="985"/>
      <c r="R1168" s="985"/>
      <c r="S1168" s="985"/>
      <c r="T1168" s="1858">
        <f t="shared" si="231"/>
        <v>0</v>
      </c>
    </row>
    <row r="1169" spans="1:20" ht="22.2" hidden="1" customHeight="1">
      <c r="A1169" s="1444">
        <f>COUNTIF($C$12:C1169,"x")</f>
        <v>41</v>
      </c>
      <c r="B1169" s="1451" t="s">
        <v>1578</v>
      </c>
      <c r="C1169" s="966" t="str">
        <f t="shared" si="233"/>
        <v xml:space="preserve"> </v>
      </c>
      <c r="D1169" s="1411">
        <v>16</v>
      </c>
      <c r="E1169" s="976"/>
      <c r="F1169" s="988" t="str">
        <f>VLOOKUP($B1169,DG!A:D,DG!$C$2,)</f>
        <v>Kẹp cáp 3 boulon</v>
      </c>
      <c r="G1169" s="976" t="str">
        <f>VLOOKUP($B1169,DG!A:D,DG!$D$2,)</f>
        <v>cái</v>
      </c>
      <c r="H1169" s="1689">
        <f t="shared" si="234"/>
        <v>0</v>
      </c>
      <c r="I1169" s="1689">
        <f t="shared" si="234"/>
        <v>0</v>
      </c>
      <c r="J1169" s="1689">
        <f t="shared" si="234"/>
        <v>0</v>
      </c>
      <c r="K1169" s="1689">
        <f t="shared" si="234"/>
        <v>0</v>
      </c>
      <c r="L1169" s="1689">
        <f t="shared" si="234"/>
        <v>0</v>
      </c>
      <c r="M1169" s="1689">
        <f t="shared" si="234"/>
        <v>0</v>
      </c>
      <c r="N1169" s="1689">
        <f t="shared" si="234"/>
        <v>0</v>
      </c>
      <c r="O1169" s="1689"/>
      <c r="P1169" s="1689"/>
      <c r="Q1169" s="985"/>
      <c r="R1169" s="985"/>
      <c r="S1169" s="985"/>
      <c r="T1169" s="1858">
        <f t="shared" si="231"/>
        <v>0</v>
      </c>
    </row>
    <row r="1170" spans="1:20" ht="22.2" hidden="1" customHeight="1">
      <c r="A1170" s="1444">
        <f>COUNTIF($C$12:C1170,"x")</f>
        <v>41</v>
      </c>
      <c r="B1170" s="1451" t="s">
        <v>275</v>
      </c>
      <c r="C1170" s="966" t="str">
        <f t="shared" si="233"/>
        <v xml:space="preserve"> </v>
      </c>
      <c r="D1170" s="1411">
        <v>31</v>
      </c>
      <c r="E1170" s="976"/>
      <c r="F1170" s="988" t="str">
        <f>VLOOKUP($B1170,DG!A:D,DG!$C$2,)</f>
        <v>Cáp thép 3/8"</v>
      </c>
      <c r="G1170" s="976" t="str">
        <f>VLOOKUP($B1170,DG!A:D,DG!$D$2,)</f>
        <v>kg</v>
      </c>
      <c r="H1170" s="1689">
        <f t="shared" si="234"/>
        <v>0</v>
      </c>
      <c r="I1170" s="1689">
        <f t="shared" si="234"/>
        <v>0</v>
      </c>
      <c r="J1170" s="1689">
        <f t="shared" si="234"/>
        <v>0</v>
      </c>
      <c r="K1170" s="1689">
        <f t="shared" si="234"/>
        <v>0</v>
      </c>
      <c r="L1170" s="1689">
        <f t="shared" si="234"/>
        <v>0</v>
      </c>
      <c r="M1170" s="1689">
        <f t="shared" si="234"/>
        <v>0</v>
      </c>
      <c r="N1170" s="1689">
        <f t="shared" si="234"/>
        <v>0</v>
      </c>
      <c r="O1170" s="1689"/>
      <c r="P1170" s="1689"/>
      <c r="Q1170" s="985"/>
      <c r="R1170" s="985"/>
      <c r="S1170" s="985"/>
      <c r="T1170" s="1858">
        <f t="shared" si="231"/>
        <v>0</v>
      </c>
    </row>
    <row r="1171" spans="1:20" ht="22.2" hidden="1" customHeight="1">
      <c r="A1171" s="1444">
        <f>COUNTIF($C$12:C1171,"x")</f>
        <v>41</v>
      </c>
      <c r="B1171" s="1451" t="s">
        <v>2000</v>
      </c>
      <c r="C1171" s="966" t="str">
        <f t="shared" si="233"/>
        <v xml:space="preserve"> </v>
      </c>
      <c r="D1171" s="1411">
        <v>4</v>
      </c>
      <c r="E1171" s="976"/>
      <c r="F1171" s="988" t="str">
        <f>VLOOKUP($B1171,DG!A:D,DG!$C$2,)</f>
        <v>Yếm cáp dày 2mm</v>
      </c>
      <c r="G1171" s="976" t="str">
        <f>VLOOKUP($B1171,DG!A:D,DG!$D$2,)</f>
        <v>cái</v>
      </c>
      <c r="H1171" s="1689">
        <f t="shared" si="234"/>
        <v>0</v>
      </c>
      <c r="I1171" s="1689">
        <f t="shared" si="234"/>
        <v>0</v>
      </c>
      <c r="J1171" s="1689">
        <f t="shared" si="234"/>
        <v>0</v>
      </c>
      <c r="K1171" s="1689">
        <f t="shared" si="234"/>
        <v>0</v>
      </c>
      <c r="L1171" s="1689">
        <f t="shared" si="234"/>
        <v>0</v>
      </c>
      <c r="M1171" s="1689">
        <f t="shared" si="234"/>
        <v>0</v>
      </c>
      <c r="N1171" s="1689">
        <f t="shared" si="234"/>
        <v>0</v>
      </c>
      <c r="O1171" s="1689"/>
      <c r="P1171" s="1689"/>
      <c r="Q1171" s="985"/>
      <c r="R1171" s="985"/>
      <c r="S1171" s="985"/>
      <c r="T1171" s="1858">
        <f t="shared" si="231"/>
        <v>0</v>
      </c>
    </row>
    <row r="1172" spans="1:20" ht="22.2" hidden="1" customHeight="1">
      <c r="A1172" s="1444">
        <f>COUNTIF($C$12:C1172,"x")</f>
        <v>41</v>
      </c>
      <c r="B1172" s="1451" t="s">
        <v>2001</v>
      </c>
      <c r="C1172" s="966" t="str">
        <f t="shared" si="233"/>
        <v xml:space="preserve"> </v>
      </c>
      <c r="D1172" s="1411">
        <v>2</v>
      </c>
      <c r="E1172" s="976"/>
      <c r="F1172" s="988" t="str">
        <f>VLOOKUP($B1172,DG!A:D,DG!$C$2,)</f>
        <v>Máng che dây chằng dày 1,6mm</v>
      </c>
      <c r="G1172" s="976" t="str">
        <f>VLOOKUP($B1172,DG!A:D,DG!$D$2,)</f>
        <v>cái</v>
      </c>
      <c r="H1172" s="1689">
        <f t="shared" si="234"/>
        <v>0</v>
      </c>
      <c r="I1172" s="1689">
        <f t="shared" si="234"/>
        <v>0</v>
      </c>
      <c r="J1172" s="1689">
        <f t="shared" si="234"/>
        <v>0</v>
      </c>
      <c r="K1172" s="1689">
        <f t="shared" si="234"/>
        <v>0</v>
      </c>
      <c r="L1172" s="1689">
        <f t="shared" si="234"/>
        <v>0</v>
      </c>
      <c r="M1172" s="1689">
        <f t="shared" si="234"/>
        <v>0</v>
      </c>
      <c r="N1172" s="1689">
        <f t="shared" si="234"/>
        <v>0</v>
      </c>
      <c r="O1172" s="1689"/>
      <c r="P1172" s="1689"/>
      <c r="Q1172" s="985"/>
      <c r="R1172" s="985"/>
      <c r="S1172" s="985"/>
      <c r="T1172" s="1858">
        <f t="shared" si="231"/>
        <v>0</v>
      </c>
    </row>
    <row r="1173" spans="1:20" ht="22.2" hidden="1" customHeight="1">
      <c r="A1173" s="1444">
        <f>COUNTIF($C$12:C1173,"x")</f>
        <v>41</v>
      </c>
      <c r="B1173" s="1451" t="s">
        <v>1918</v>
      </c>
      <c r="C1173" s="966" t="str">
        <f t="shared" si="233"/>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31"/>
        <v>0</v>
      </c>
    </row>
    <row r="1174" spans="1:20" ht="22.2" hidden="1" customHeight="1">
      <c r="A1174" s="1444">
        <f>COUNTIF($C$12:C1174,"x")</f>
        <v>41</v>
      </c>
      <c r="B1174" s="1460" t="s">
        <v>356</v>
      </c>
      <c r="C1174" s="966" t="str">
        <f t="shared" si="233"/>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31"/>
        <v>0</v>
      </c>
    </row>
    <row r="1175" spans="1:20" ht="22.2" hidden="1" customHeight="1">
      <c r="A1175" s="1444">
        <f>COUNTIF($C$12:C1175,"x")</f>
        <v>41</v>
      </c>
      <c r="B1175" s="1448" t="s">
        <v>1270</v>
      </c>
      <c r="C1175" s="966" t="str">
        <f t="shared" si="233"/>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2" hidden="1" customHeight="1">
      <c r="A1176" s="1444">
        <f>COUNTIF($C$12:C1176,"x")</f>
        <v>41</v>
      </c>
      <c r="B1176" s="1451" t="s">
        <v>1918</v>
      </c>
      <c r="C1176" s="966" t="str">
        <f t="shared" si="233"/>
        <v xml:space="preserve"> </v>
      </c>
      <c r="D1176" s="1411">
        <v>1</v>
      </c>
      <c r="E1176" s="976"/>
      <c r="F1176" s="981" t="s">
        <v>2460</v>
      </c>
      <c r="G1176" s="976" t="str">
        <f>VLOOKUP($B1176,DG!A:D,DG!$D$2,)</f>
        <v>bộ</v>
      </c>
      <c r="H1176" s="1689">
        <f t="shared" ref="H1176:N1177" si="235">H$1175*$D1176</f>
        <v>0</v>
      </c>
      <c r="I1176" s="1689">
        <f t="shared" si="235"/>
        <v>0</v>
      </c>
      <c r="J1176" s="1689">
        <f t="shared" si="235"/>
        <v>0</v>
      </c>
      <c r="K1176" s="1689">
        <f t="shared" si="235"/>
        <v>0</v>
      </c>
      <c r="L1176" s="1689">
        <f t="shared" si="235"/>
        <v>0</v>
      </c>
      <c r="M1176" s="1689">
        <f t="shared" si="235"/>
        <v>0</v>
      </c>
      <c r="N1176" s="1689">
        <f t="shared" si="235"/>
        <v>0</v>
      </c>
      <c r="O1176" s="1689"/>
      <c r="P1176" s="1689"/>
      <c r="Q1176" s="985"/>
      <c r="R1176" s="985"/>
      <c r="S1176" s="985"/>
      <c r="T1176" s="1858">
        <f t="shared" si="231"/>
        <v>0</v>
      </c>
    </row>
    <row r="1177" spans="1:20" ht="22.2" hidden="1" customHeight="1">
      <c r="A1177" s="1444">
        <f>COUNTIF($C$12:C1177,"x")</f>
        <v>41</v>
      </c>
      <c r="B1177" s="1460" t="s">
        <v>356</v>
      </c>
      <c r="C1177" s="966" t="str">
        <f t="shared" si="233"/>
        <v xml:space="preserve"> </v>
      </c>
      <c r="D1177" s="1410">
        <v>0.02</v>
      </c>
      <c r="E1177" s="976" t="str">
        <f>VLOOKUP($B1177,DG!A:C,2,)</f>
        <v>02.1421</v>
      </c>
      <c r="F1177" s="981" t="str">
        <f>VLOOKUP($B1177,DG!A:C,3,)</f>
        <v>V/c phụ kiện vào vị trí (cự ly &lt;=100m)</v>
      </c>
      <c r="G1177" s="976" t="str">
        <f>VLOOKUP($B1177,DG!A:D,4,0)</f>
        <v>tấn</v>
      </c>
      <c r="H1177" s="1689">
        <f t="shared" si="235"/>
        <v>0</v>
      </c>
      <c r="I1177" s="1689">
        <f t="shared" si="235"/>
        <v>0</v>
      </c>
      <c r="J1177" s="1689">
        <f t="shared" si="235"/>
        <v>0</v>
      </c>
      <c r="K1177" s="1689">
        <f t="shared" si="235"/>
        <v>0</v>
      </c>
      <c r="L1177" s="1689">
        <f t="shared" si="235"/>
        <v>0</v>
      </c>
      <c r="M1177" s="1689">
        <f t="shared" si="235"/>
        <v>0</v>
      </c>
      <c r="N1177" s="1689">
        <f t="shared" si="235"/>
        <v>0</v>
      </c>
      <c r="O1177" s="1689"/>
      <c r="P1177" s="1689"/>
      <c r="Q1177" s="985"/>
      <c r="R1177" s="985"/>
      <c r="S1177" s="985"/>
      <c r="T1177" s="1858">
        <f t="shared" si="231"/>
        <v>0</v>
      </c>
    </row>
    <row r="1178" spans="1:20" ht="22.2" hidden="1" customHeight="1" collapsed="1">
      <c r="A1178" s="1444">
        <f>COUNTIF($C$12:C1178,"x")</f>
        <v>41</v>
      </c>
      <c r="B1178" s="1448" t="s">
        <v>663</v>
      </c>
      <c r="C1178" s="1697" t="str">
        <f t="shared" si="233"/>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2" hidden="1" customHeight="1">
      <c r="A1179" s="1444">
        <f>COUNTIF($C$12:C1179,"x")</f>
        <v>41</v>
      </c>
      <c r="B1179" s="1447" t="s">
        <v>1061</v>
      </c>
      <c r="C1179" s="1697" t="str">
        <f t="shared" si="233"/>
        <v xml:space="preserve"> </v>
      </c>
      <c r="D1179" s="1411">
        <v>1</v>
      </c>
      <c r="E1179" s="976"/>
      <c r="F1179" s="988" t="str">
        <f>VLOOKUP($B1179,DG!A:D,DG!$C$2,)</f>
        <v>Boulon mắt 16x250+ 2 long đền vuông D18-50x50x3/Zn</v>
      </c>
      <c r="G1179" s="976" t="str">
        <f>VLOOKUP($B1179,DG!A:D,DG!$D$2,)</f>
        <v>bộ</v>
      </c>
      <c r="H1179" s="1689">
        <f t="shared" ref="H1179:N1185" si="236">H$1178*$D1179</f>
        <v>0</v>
      </c>
      <c r="I1179" s="1689">
        <f t="shared" si="236"/>
        <v>0</v>
      </c>
      <c r="J1179" s="1689">
        <f t="shared" si="236"/>
        <v>0</v>
      </c>
      <c r="K1179" s="1689">
        <f t="shared" si="236"/>
        <v>0</v>
      </c>
      <c r="L1179" s="1689">
        <f t="shared" si="236"/>
        <v>0</v>
      </c>
      <c r="M1179" s="1689">
        <f t="shared" si="236"/>
        <v>0</v>
      </c>
      <c r="N1179" s="1689">
        <f t="shared" si="236"/>
        <v>0</v>
      </c>
      <c r="O1179" s="1689"/>
      <c r="P1179" s="1689">
        <f t="shared" ref="P1179:P1186" si="237">$P$1178*D1179</f>
        <v>0</v>
      </c>
      <c r="Q1179" s="985"/>
      <c r="R1179" s="985">
        <f t="shared" ref="R1179:R1187" si="238">$R$1178*D1179</f>
        <v>0</v>
      </c>
      <c r="S1179" s="985"/>
      <c r="T1179" s="1858">
        <f t="shared" si="231"/>
        <v>0</v>
      </c>
    </row>
    <row r="1180" spans="1:20" ht="22.2" hidden="1" customHeight="1">
      <c r="A1180" s="1444">
        <f>COUNTIF($C$12:C1180,"x")</f>
        <v>41</v>
      </c>
      <c r="B1180" s="1447" t="s">
        <v>111</v>
      </c>
      <c r="C1180" s="1697" t="str">
        <f t="shared" si="233"/>
        <v xml:space="preserve"> </v>
      </c>
      <c r="D1180" s="1411">
        <v>1</v>
      </c>
      <c r="E1180" s="976"/>
      <c r="F1180" s="988" t="str">
        <f>VLOOKUP($B1180,DG!A:D,DG!$C$2,)</f>
        <v>Sứ chằng</v>
      </c>
      <c r="G1180" s="976" t="str">
        <f>VLOOKUP($B1180,DG!A:D,DG!$D$2,)</f>
        <v>cái</v>
      </c>
      <c r="H1180" s="1689">
        <f t="shared" si="236"/>
        <v>0</v>
      </c>
      <c r="I1180" s="1689">
        <f t="shared" si="236"/>
        <v>0</v>
      </c>
      <c r="J1180" s="1689">
        <f t="shared" si="236"/>
        <v>0</v>
      </c>
      <c r="K1180" s="1689">
        <f t="shared" si="236"/>
        <v>0</v>
      </c>
      <c r="L1180" s="1689">
        <f t="shared" si="236"/>
        <v>0</v>
      </c>
      <c r="M1180" s="1689">
        <f t="shared" si="236"/>
        <v>0</v>
      </c>
      <c r="N1180" s="1689">
        <f t="shared" si="236"/>
        <v>0</v>
      </c>
      <c r="O1180" s="1689"/>
      <c r="P1180" s="1689">
        <f t="shared" si="237"/>
        <v>0</v>
      </c>
      <c r="Q1180" s="985"/>
      <c r="R1180" s="985">
        <f t="shared" si="238"/>
        <v>0</v>
      </c>
      <c r="S1180" s="985"/>
      <c r="T1180" s="1858">
        <f t="shared" si="231"/>
        <v>0</v>
      </c>
    </row>
    <row r="1181" spans="1:20" ht="22.2" hidden="1" customHeight="1">
      <c r="A1181" s="1444">
        <f>COUNTIF($C$12:C1181,"x")</f>
        <v>41</v>
      </c>
      <c r="B1181" s="1447" t="s">
        <v>1578</v>
      </c>
      <c r="C1181" s="1697" t="str">
        <f t="shared" si="233"/>
        <v xml:space="preserve"> </v>
      </c>
      <c r="D1181" s="1411">
        <v>8</v>
      </c>
      <c r="E1181" s="976"/>
      <c r="F1181" s="988" t="str">
        <f>VLOOKUP($B1181,DG!A:D,DG!$C$2,)</f>
        <v>Kẹp cáp 3 boulon</v>
      </c>
      <c r="G1181" s="976" t="str">
        <f>VLOOKUP($B1181,DG!A:D,DG!$D$2,)</f>
        <v>cái</v>
      </c>
      <c r="H1181" s="1689">
        <f t="shared" si="236"/>
        <v>0</v>
      </c>
      <c r="I1181" s="1689">
        <f t="shared" si="236"/>
        <v>0</v>
      </c>
      <c r="J1181" s="1689">
        <f t="shared" si="236"/>
        <v>0</v>
      </c>
      <c r="K1181" s="1689">
        <f t="shared" si="236"/>
        <v>0</v>
      </c>
      <c r="L1181" s="1689">
        <f t="shared" si="236"/>
        <v>0</v>
      </c>
      <c r="M1181" s="1689">
        <f t="shared" si="236"/>
        <v>0</v>
      </c>
      <c r="N1181" s="1689">
        <f t="shared" si="236"/>
        <v>0</v>
      </c>
      <c r="O1181" s="1689"/>
      <c r="P1181" s="1689">
        <f t="shared" si="237"/>
        <v>0</v>
      </c>
      <c r="Q1181" s="985"/>
      <c r="R1181" s="985">
        <f t="shared" si="238"/>
        <v>0</v>
      </c>
      <c r="S1181" s="985"/>
      <c r="T1181" s="1858">
        <f t="shared" si="231"/>
        <v>0</v>
      </c>
    </row>
    <row r="1182" spans="1:20" ht="22.2" hidden="1" customHeight="1">
      <c r="A1182" s="1444">
        <f>COUNTIF($C$12:C1182,"x")</f>
        <v>41</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6"/>
        <v>0</v>
      </c>
      <c r="I1182" s="1689">
        <f t="shared" si="236"/>
        <v>0</v>
      </c>
      <c r="J1182" s="1689">
        <f t="shared" si="236"/>
        <v>0</v>
      </c>
      <c r="K1182" s="1689">
        <f t="shared" si="236"/>
        <v>0</v>
      </c>
      <c r="L1182" s="1689">
        <f t="shared" si="236"/>
        <v>0</v>
      </c>
      <c r="M1182" s="1689">
        <f t="shared" si="236"/>
        <v>0</v>
      </c>
      <c r="N1182" s="1689">
        <f t="shared" si="236"/>
        <v>0</v>
      </c>
      <c r="O1182" s="1689"/>
      <c r="P1182" s="1689">
        <f>$P$1178*D1182</f>
        <v>0</v>
      </c>
      <c r="Q1182" s="989">
        <f>$Q$1192*D1182</f>
        <v>0</v>
      </c>
      <c r="R1182" s="985"/>
      <c r="S1182" s="985"/>
      <c r="T1182" s="1858">
        <f>IFERROR(HLOOKUP(B1182,BangKeTru,3,0),0)</f>
        <v>0</v>
      </c>
    </row>
    <row r="1183" spans="1:20" ht="22.2" hidden="1" customHeight="1">
      <c r="A1183" s="1444">
        <f>COUNTIF($C$12:C1183,"x")</f>
        <v>41</v>
      </c>
      <c r="B1183" s="1447" t="s">
        <v>4921</v>
      </c>
      <c r="C1183" s="1697" t="str">
        <f t="shared" si="233"/>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8"/>
        <v>0</v>
      </c>
      <c r="S1183" s="985"/>
      <c r="T1183" s="1858">
        <f t="shared" si="231"/>
        <v>0</v>
      </c>
    </row>
    <row r="1184" spans="1:20" ht="22.2" hidden="1" customHeight="1">
      <c r="A1184" s="1444">
        <f>COUNTIF($C$12:C1184,"x")</f>
        <v>41</v>
      </c>
      <c r="B1184" s="1447" t="s">
        <v>2000</v>
      </c>
      <c r="C1184" s="1697" t="str">
        <f t="shared" si="233"/>
        <v xml:space="preserve"> </v>
      </c>
      <c r="D1184" s="1411">
        <v>2</v>
      </c>
      <c r="E1184" s="976"/>
      <c r="F1184" s="988" t="str">
        <f>VLOOKUP($B1184,DG!A:D,DG!$C$2,)</f>
        <v>Yếm cáp dày 2mm</v>
      </c>
      <c r="G1184" s="976" t="str">
        <f>VLOOKUP($B1184,DG!A:D,DG!$D$2,)</f>
        <v>cái</v>
      </c>
      <c r="H1184" s="1689">
        <f t="shared" si="236"/>
        <v>0</v>
      </c>
      <c r="I1184" s="1689">
        <f t="shared" si="236"/>
        <v>0</v>
      </c>
      <c r="J1184" s="1689">
        <f t="shared" si="236"/>
        <v>0</v>
      </c>
      <c r="K1184" s="1689">
        <f t="shared" si="236"/>
        <v>0</v>
      </c>
      <c r="L1184" s="1689">
        <f t="shared" si="236"/>
        <v>0</v>
      </c>
      <c r="M1184" s="1689">
        <f t="shared" si="236"/>
        <v>0</v>
      </c>
      <c r="N1184" s="1689">
        <f t="shared" si="236"/>
        <v>0</v>
      </c>
      <c r="O1184" s="1689"/>
      <c r="P1184" s="1689">
        <f t="shared" si="237"/>
        <v>0</v>
      </c>
      <c r="Q1184" s="985"/>
      <c r="R1184" s="985">
        <f t="shared" si="238"/>
        <v>0</v>
      </c>
      <c r="S1184" s="985"/>
      <c r="T1184" s="1858">
        <f t="shared" si="231"/>
        <v>0</v>
      </c>
    </row>
    <row r="1185" spans="1:20" ht="22.2" hidden="1" customHeight="1">
      <c r="A1185" s="1444">
        <f>COUNTIF($C$12:C1185,"x")</f>
        <v>41</v>
      </c>
      <c r="B1185" s="1447" t="s">
        <v>2001</v>
      </c>
      <c r="C1185" s="1697" t="str">
        <f t="shared" si="233"/>
        <v xml:space="preserve"> </v>
      </c>
      <c r="D1185" s="1411">
        <v>1</v>
      </c>
      <c r="E1185" s="976"/>
      <c r="F1185" s="988" t="str">
        <f>VLOOKUP($B1185,DG!A:D,DG!$C$2,)</f>
        <v>Máng che dây chằng dày 1,6mm</v>
      </c>
      <c r="G1185" s="976" t="str">
        <f>VLOOKUP($B1185,DG!A:D,DG!$D$2,)</f>
        <v>cái</v>
      </c>
      <c r="H1185" s="1689">
        <f t="shared" si="236"/>
        <v>0</v>
      </c>
      <c r="I1185" s="1689">
        <f t="shared" si="236"/>
        <v>0</v>
      </c>
      <c r="J1185" s="1689">
        <f t="shared" si="236"/>
        <v>0</v>
      </c>
      <c r="K1185" s="1689">
        <f t="shared" si="236"/>
        <v>0</v>
      </c>
      <c r="L1185" s="1689">
        <f t="shared" si="236"/>
        <v>0</v>
      </c>
      <c r="M1185" s="1689">
        <f t="shared" si="236"/>
        <v>0</v>
      </c>
      <c r="N1185" s="1689">
        <f t="shared" si="236"/>
        <v>0</v>
      </c>
      <c r="O1185" s="1689"/>
      <c r="P1185" s="1689">
        <f t="shared" si="237"/>
        <v>0</v>
      </c>
      <c r="Q1185" s="985"/>
      <c r="R1185" s="985">
        <f t="shared" si="238"/>
        <v>0</v>
      </c>
      <c r="S1185" s="985"/>
      <c r="T1185" s="1858">
        <f t="shared" si="231"/>
        <v>0</v>
      </c>
    </row>
    <row r="1186" spans="1:20" ht="22.2" hidden="1" customHeight="1">
      <c r="A1186" s="1444">
        <f>COUNTIF($C$12:C1186,"x")</f>
        <v>41</v>
      </c>
      <c r="B1186" s="1447" t="s">
        <v>1918</v>
      </c>
      <c r="C1186" s="1697" t="str">
        <f t="shared" si="233"/>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7"/>
        <v>0</v>
      </c>
      <c r="Q1186" s="990"/>
      <c r="R1186" s="985">
        <f t="shared" si="238"/>
        <v>0</v>
      </c>
      <c r="S1186" s="990"/>
      <c r="T1186" s="1858">
        <f t="shared" si="231"/>
        <v>0</v>
      </c>
    </row>
    <row r="1187" spans="1:20" ht="22.2" hidden="1" customHeight="1">
      <c r="A1187" s="1444">
        <f>COUNTIF($C$12:C1187,"x")</f>
        <v>41</v>
      </c>
      <c r="B1187" s="1451" t="s">
        <v>1918</v>
      </c>
      <c r="C1187" s="966" t="str">
        <f t="shared" si="233"/>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8"/>
        <v>0</v>
      </c>
      <c r="S1187" s="990"/>
      <c r="T1187" s="1858">
        <f t="shared" si="231"/>
        <v>0</v>
      </c>
    </row>
    <row r="1188" spans="1:20" ht="22.2" hidden="1" customHeight="1">
      <c r="A1188" s="1444">
        <f>COUNTIF($C$12:C1188,"x")</f>
        <v>41</v>
      </c>
      <c r="B1188" s="1448" t="s">
        <v>195</v>
      </c>
      <c r="C1188" s="966" t="str">
        <f t="shared" si="233"/>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2" hidden="1" customHeight="1">
      <c r="A1189" s="1444">
        <f>COUNTIF($C$12:C1189,"x")</f>
        <v>41</v>
      </c>
      <c r="B1189" s="1451" t="s">
        <v>1918</v>
      </c>
      <c r="C1189" s="966" t="str">
        <f t="shared" si="233"/>
        <v xml:space="preserve"> </v>
      </c>
      <c r="D1189" s="1411">
        <v>1</v>
      </c>
      <c r="E1189" s="976"/>
      <c r="F1189" s="981" t="s">
        <v>2460</v>
      </c>
      <c r="G1189" s="976" t="str">
        <f>VLOOKUP($B1189,DG!A:D,DG!$D$2,)</f>
        <v>bộ</v>
      </c>
      <c r="H1189" s="1689">
        <f t="shared" ref="H1189:N1191" si="239">H$1188*$D1189</f>
        <v>0</v>
      </c>
      <c r="I1189" s="1689">
        <f t="shared" si="239"/>
        <v>0</v>
      </c>
      <c r="J1189" s="1689">
        <f t="shared" si="239"/>
        <v>0</v>
      </c>
      <c r="K1189" s="1689">
        <f t="shared" si="239"/>
        <v>0</v>
      </c>
      <c r="L1189" s="1689">
        <f t="shared" si="239"/>
        <v>0</v>
      </c>
      <c r="M1189" s="1689">
        <f t="shared" si="239"/>
        <v>0</v>
      </c>
      <c r="N1189" s="1689">
        <f t="shared" si="239"/>
        <v>0</v>
      </c>
      <c r="O1189" s="1689"/>
      <c r="P1189" s="1689"/>
      <c r="Q1189" s="985"/>
      <c r="R1189" s="985"/>
      <c r="S1189" s="985"/>
      <c r="T1189" s="1858">
        <f t="shared" si="231"/>
        <v>0</v>
      </c>
    </row>
    <row r="1190" spans="1:20" ht="22.2" hidden="1" customHeight="1">
      <c r="A1190" s="1444">
        <f>COUNTIF($C$12:C1190,"x")</f>
        <v>41</v>
      </c>
      <c r="B1190" s="1451" t="s">
        <v>1906</v>
      </c>
      <c r="C1190" s="966" t="str">
        <f t="shared" si="233"/>
        <v xml:space="preserve"> </v>
      </c>
      <c r="D1190" s="1411">
        <v>1</v>
      </c>
      <c r="E1190" s="976"/>
      <c r="F1190" s="981" t="s">
        <v>2461</v>
      </c>
      <c r="G1190" s="976" t="str">
        <f>VLOOKUP($B1190,DG!A:D,DG!$D$2,)</f>
        <v>bộ</v>
      </c>
      <c r="H1190" s="1689">
        <f t="shared" si="239"/>
        <v>0</v>
      </c>
      <c r="I1190" s="1689">
        <f t="shared" si="239"/>
        <v>0</v>
      </c>
      <c r="J1190" s="1689">
        <f t="shared" si="239"/>
        <v>0</v>
      </c>
      <c r="K1190" s="1689">
        <f t="shared" si="239"/>
        <v>0</v>
      </c>
      <c r="L1190" s="1689">
        <f t="shared" si="239"/>
        <v>0</v>
      </c>
      <c r="M1190" s="1689">
        <f t="shared" si="239"/>
        <v>0</v>
      </c>
      <c r="N1190" s="1689">
        <f t="shared" si="239"/>
        <v>0</v>
      </c>
      <c r="O1190" s="1689"/>
      <c r="P1190" s="1689"/>
      <c r="Q1190" s="985"/>
      <c r="R1190" s="985"/>
      <c r="S1190" s="985"/>
      <c r="T1190" s="1858">
        <f t="shared" si="231"/>
        <v>0</v>
      </c>
    </row>
    <row r="1191" spans="1:20" ht="22.2" hidden="1" customHeight="1">
      <c r="A1191" s="1444">
        <f>COUNTIF($C$12:C1191,"x")</f>
        <v>41</v>
      </c>
      <c r="B1191" s="1460" t="s">
        <v>356</v>
      </c>
      <c r="C1191" s="966" t="str">
        <f t="shared" si="233"/>
        <v xml:space="preserve"> </v>
      </c>
      <c r="D1191" s="1410">
        <v>0.02</v>
      </c>
      <c r="E1191" s="976" t="str">
        <f>VLOOKUP($B1191,DG!A:C,2,)</f>
        <v>02.1421</v>
      </c>
      <c r="F1191" s="981" t="str">
        <f>VLOOKUP($B1191,DG!A:C,3,)</f>
        <v>V/c phụ kiện vào vị trí (cự ly &lt;=100m)</v>
      </c>
      <c r="G1191" s="976" t="str">
        <f>VLOOKUP($B1191,DG!A:D,4,0)</f>
        <v>tấn</v>
      </c>
      <c r="H1191" s="1689">
        <f t="shared" si="239"/>
        <v>0</v>
      </c>
      <c r="I1191" s="1689">
        <f t="shared" si="239"/>
        <v>0</v>
      </c>
      <c r="J1191" s="1689">
        <f t="shared" si="239"/>
        <v>0</v>
      </c>
      <c r="K1191" s="1689">
        <f t="shared" si="239"/>
        <v>0</v>
      </c>
      <c r="L1191" s="1689">
        <f t="shared" si="239"/>
        <v>0</v>
      </c>
      <c r="M1191" s="1689">
        <f t="shared" si="239"/>
        <v>0</v>
      </c>
      <c r="N1191" s="1689">
        <f t="shared" si="239"/>
        <v>0</v>
      </c>
      <c r="O1191" s="1689"/>
      <c r="P1191" s="1689"/>
      <c r="Q1191" s="985"/>
      <c r="R1191" s="985"/>
      <c r="S1191" s="985"/>
      <c r="T1191" s="1858">
        <f t="shared" si="231"/>
        <v>0</v>
      </c>
    </row>
    <row r="1192" spans="1:20" ht="22.2" hidden="1" customHeight="1">
      <c r="A1192" s="1444">
        <f>COUNTIF($C$12:C1192,"x")</f>
        <v>41</v>
      </c>
      <c r="B1192" s="1448" t="s">
        <v>664</v>
      </c>
      <c r="C1192" s="966" t="str">
        <f t="shared" si="233"/>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2" hidden="1" customHeight="1">
      <c r="A1193" s="1444">
        <f>COUNTIF($C$12:C1193,"x")</f>
        <v>41</v>
      </c>
      <c r="B1193" s="1447" t="s">
        <v>417</v>
      </c>
      <c r="C1193" s="966" t="str">
        <f t="shared" si="233"/>
        <v xml:space="preserve"> </v>
      </c>
      <c r="D1193" s="1411">
        <v>1</v>
      </c>
      <c r="E1193" s="976"/>
      <c r="F1193" s="988" t="str">
        <f>VLOOKUP($B1193,DG!A:D,DG!$C$2,)</f>
        <v>Boulon mắt 16x300+ 2 long đền vuông D18-50x50x3/Zn</v>
      </c>
      <c r="G1193" s="976" t="str">
        <f>VLOOKUP($B1193,DG!A:D,DG!$D$2,)</f>
        <v>bộ</v>
      </c>
      <c r="H1193" s="1689">
        <f t="shared" ref="H1193:N1200" si="240">H$1192*$D1193</f>
        <v>0</v>
      </c>
      <c r="I1193" s="1689">
        <f t="shared" si="240"/>
        <v>0</v>
      </c>
      <c r="J1193" s="1689">
        <f t="shared" si="240"/>
        <v>0</v>
      </c>
      <c r="K1193" s="1689">
        <f t="shared" si="240"/>
        <v>0</v>
      </c>
      <c r="L1193" s="1689">
        <f t="shared" si="240"/>
        <v>0</v>
      </c>
      <c r="M1193" s="1689">
        <f t="shared" si="240"/>
        <v>0</v>
      </c>
      <c r="N1193" s="1689">
        <f t="shared" si="240"/>
        <v>0</v>
      </c>
      <c r="O1193" s="1689"/>
      <c r="P1193" s="1689">
        <f t="shared" ref="P1193:P1201" si="241">$P$1192*D1193</f>
        <v>0</v>
      </c>
      <c r="Q1193" s="985">
        <f t="shared" ref="Q1193:Q1202" si="242">$Q$1192*D1193</f>
        <v>0</v>
      </c>
      <c r="R1193" s="985"/>
      <c r="S1193" s="985"/>
      <c r="T1193" s="1858">
        <f t="shared" si="231"/>
        <v>0</v>
      </c>
    </row>
    <row r="1194" spans="1:20" ht="22.2" hidden="1" customHeight="1">
      <c r="A1194" s="1444">
        <f>COUNTIF($C$12:C1194,"x")</f>
        <v>41</v>
      </c>
      <c r="B1194" s="1447" t="s">
        <v>111</v>
      </c>
      <c r="C1194" s="966" t="str">
        <f t="shared" si="233"/>
        <v xml:space="preserve"> </v>
      </c>
      <c r="D1194" s="1411">
        <v>1</v>
      </c>
      <c r="E1194" s="976"/>
      <c r="F1194" s="988" t="str">
        <f>VLOOKUP($B1194,DG!A:D,DG!$C$2,)</f>
        <v>Sứ chằng</v>
      </c>
      <c r="G1194" s="976" t="str">
        <f>VLOOKUP($B1194,DG!A:D,DG!$D$2,)</f>
        <v>cái</v>
      </c>
      <c r="H1194" s="1689">
        <f t="shared" si="240"/>
        <v>0</v>
      </c>
      <c r="I1194" s="1689">
        <f t="shared" si="240"/>
        <v>0</v>
      </c>
      <c r="J1194" s="1689">
        <f t="shared" si="240"/>
        <v>0</v>
      </c>
      <c r="K1194" s="1689">
        <f t="shared" si="240"/>
        <v>0</v>
      </c>
      <c r="L1194" s="1689">
        <f t="shared" si="240"/>
        <v>0</v>
      </c>
      <c r="M1194" s="1689">
        <f t="shared" si="240"/>
        <v>0</v>
      </c>
      <c r="N1194" s="1689">
        <f t="shared" si="240"/>
        <v>0</v>
      </c>
      <c r="O1194" s="1689"/>
      <c r="P1194" s="1689">
        <f t="shared" si="241"/>
        <v>0</v>
      </c>
      <c r="Q1194" s="985">
        <f t="shared" si="242"/>
        <v>0</v>
      </c>
      <c r="R1194" s="985"/>
      <c r="S1194" s="985"/>
      <c r="T1194" s="1858">
        <f t="shared" si="231"/>
        <v>0</v>
      </c>
    </row>
    <row r="1195" spans="1:20" ht="22.2" hidden="1" customHeight="1">
      <c r="A1195" s="1444">
        <f>COUNTIF($C$12:C1195,"x")</f>
        <v>41</v>
      </c>
      <c r="B1195" s="1447" t="s">
        <v>1578</v>
      </c>
      <c r="C1195" s="966" t="str">
        <f t="shared" si="233"/>
        <v xml:space="preserve"> </v>
      </c>
      <c r="D1195" s="1411">
        <v>8</v>
      </c>
      <c r="E1195" s="976"/>
      <c r="F1195" s="988" t="str">
        <f>VLOOKUP($B1195,DG!A:D,DG!$C$2,)</f>
        <v>Kẹp cáp 3 boulon</v>
      </c>
      <c r="G1195" s="976" t="str">
        <f>VLOOKUP($B1195,DG!A:D,DG!$D$2,)</f>
        <v>cái</v>
      </c>
      <c r="H1195" s="1689">
        <f t="shared" si="240"/>
        <v>0</v>
      </c>
      <c r="I1195" s="1689">
        <f t="shared" si="240"/>
        <v>0</v>
      </c>
      <c r="J1195" s="1689">
        <f t="shared" si="240"/>
        <v>0</v>
      </c>
      <c r="K1195" s="1689">
        <f t="shared" si="240"/>
        <v>0</v>
      </c>
      <c r="L1195" s="1689">
        <f t="shared" si="240"/>
        <v>0</v>
      </c>
      <c r="M1195" s="1689">
        <f t="shared" si="240"/>
        <v>0</v>
      </c>
      <c r="N1195" s="1689">
        <f t="shared" si="240"/>
        <v>0</v>
      </c>
      <c r="O1195" s="1689"/>
      <c r="P1195" s="1689">
        <f t="shared" si="241"/>
        <v>0</v>
      </c>
      <c r="Q1195" s="985">
        <f t="shared" si="242"/>
        <v>0</v>
      </c>
      <c r="R1195" s="985"/>
      <c r="S1195" s="985"/>
      <c r="T1195" s="1858">
        <f t="shared" si="231"/>
        <v>0</v>
      </c>
    </row>
    <row r="1196" spans="1:20" ht="22.2" hidden="1" customHeight="1">
      <c r="A1196" s="1444">
        <f>COUNTIF($C$12:C1196,"x")</f>
        <v>41</v>
      </c>
      <c r="B1196" s="1447" t="s">
        <v>1359</v>
      </c>
      <c r="C1196" s="966" t="str">
        <f>IF(OR(P1196&lt;&gt;0,H1196&lt;&gt;0),"x"," ")</f>
        <v xml:space="preserve"> </v>
      </c>
      <c r="D1196" s="1421"/>
      <c r="E1196" s="976"/>
      <c r="F1196" s="988" t="str">
        <f>VLOOKUP($B1196,DG!A:D,DG!$C$2,)</f>
        <v>Cáp thép 5/8"</v>
      </c>
      <c r="G1196" s="976" t="str">
        <f>VLOOKUP($B1196,DG!A:D,DG!$D$2,)</f>
        <v>kg</v>
      </c>
      <c r="H1196" s="1689">
        <f t="shared" si="240"/>
        <v>0</v>
      </c>
      <c r="I1196" s="1689">
        <f t="shared" si="240"/>
        <v>0</v>
      </c>
      <c r="J1196" s="1689">
        <f t="shared" si="240"/>
        <v>0</v>
      </c>
      <c r="K1196" s="1689">
        <f t="shared" si="240"/>
        <v>0</v>
      </c>
      <c r="L1196" s="1689">
        <f t="shared" si="240"/>
        <v>0</v>
      </c>
      <c r="M1196" s="1689">
        <f t="shared" si="240"/>
        <v>0</v>
      </c>
      <c r="N1196" s="1689">
        <f t="shared" si="240"/>
        <v>0</v>
      </c>
      <c r="O1196" s="1689"/>
      <c r="P1196" s="1689">
        <f>$P$1192*D1196</f>
        <v>0</v>
      </c>
      <c r="Q1196" s="989">
        <f>$Q$1192*D1196</f>
        <v>0</v>
      </c>
      <c r="R1196" s="985"/>
      <c r="S1196" s="985"/>
      <c r="T1196" s="1858">
        <f>IFERROR(HLOOKUP(B1196,BangKeTru,3,0),0)</f>
        <v>0</v>
      </c>
    </row>
    <row r="1197" spans="1:20" ht="22.2" hidden="1" customHeight="1">
      <c r="A1197" s="1444">
        <f>COUNTIF($C$12:C1197,"x")</f>
        <v>41</v>
      </c>
      <c r="B1197" s="1447" t="s">
        <v>4921</v>
      </c>
      <c r="C1197" s="966" t="str">
        <f t="shared" si="233"/>
        <v xml:space="preserve"> </v>
      </c>
      <c r="D1197" s="1421">
        <v>14</v>
      </c>
      <c r="E1197" s="976"/>
      <c r="F1197" s="988" t="str">
        <f>VLOOKUP($B1197,DG!A:D,DG!$C$2,)</f>
        <v>Cáp thép 5/8"</v>
      </c>
      <c r="G1197" s="976" t="str">
        <f>VLOOKUP($B1197,DG!A:D,DG!$D$2,)</f>
        <v>mét</v>
      </c>
      <c r="H1197" s="1689">
        <f t="shared" si="240"/>
        <v>0</v>
      </c>
      <c r="I1197" s="1689">
        <f t="shared" si="240"/>
        <v>0</v>
      </c>
      <c r="J1197" s="1689">
        <f t="shared" si="240"/>
        <v>0</v>
      </c>
      <c r="K1197" s="1689">
        <f t="shared" si="240"/>
        <v>0</v>
      </c>
      <c r="L1197" s="1689">
        <f t="shared" si="240"/>
        <v>0</v>
      </c>
      <c r="M1197" s="1689">
        <f t="shared" si="240"/>
        <v>0</v>
      </c>
      <c r="N1197" s="1689">
        <f t="shared" si="240"/>
        <v>0</v>
      </c>
      <c r="O1197" s="1689"/>
      <c r="P1197" s="1689">
        <f t="shared" si="241"/>
        <v>0</v>
      </c>
      <c r="Q1197" s="989">
        <f t="shared" si="242"/>
        <v>0</v>
      </c>
      <c r="R1197" s="985"/>
      <c r="S1197" s="985"/>
      <c r="T1197" s="1858">
        <f t="shared" si="231"/>
        <v>0</v>
      </c>
    </row>
    <row r="1198" spans="1:20" ht="22.2" hidden="1" customHeight="1">
      <c r="A1198" s="1444">
        <f>COUNTIF($C$12:C1198,"x")</f>
        <v>41</v>
      </c>
      <c r="B1198" s="1447" t="s">
        <v>607</v>
      </c>
      <c r="C1198" s="966" t="str">
        <f t="shared" si="233"/>
        <v xml:space="preserve"> </v>
      </c>
      <c r="D1198" s="1411">
        <v>1</v>
      </c>
      <c r="E1198" s="976"/>
      <c r="F1198" s="988" t="str">
        <f>VLOOKUP($B1198,DG!A:D,DG!$C$2,)</f>
        <v>Bộ chống chằng hẹp Ø60/50x1500+2BL12x40+BL16x250/80</v>
      </c>
      <c r="G1198" s="976" t="str">
        <f>VLOOKUP($B1198,DG!A:D,DG!$D$2,)</f>
        <v>bộ</v>
      </c>
      <c r="H1198" s="1689">
        <f t="shared" si="240"/>
        <v>0</v>
      </c>
      <c r="I1198" s="1689">
        <f t="shared" si="240"/>
        <v>0</v>
      </c>
      <c r="J1198" s="1689">
        <f t="shared" si="240"/>
        <v>0</v>
      </c>
      <c r="K1198" s="1689">
        <f t="shared" si="240"/>
        <v>0</v>
      </c>
      <c r="L1198" s="1689">
        <f t="shared" si="240"/>
        <v>0</v>
      </c>
      <c r="M1198" s="1689">
        <f t="shared" si="240"/>
        <v>0</v>
      </c>
      <c r="N1198" s="1689">
        <f t="shared" si="240"/>
        <v>0</v>
      </c>
      <c r="O1198" s="1689"/>
      <c r="P1198" s="1689">
        <f t="shared" si="241"/>
        <v>0</v>
      </c>
      <c r="Q1198" s="985">
        <f t="shared" si="242"/>
        <v>0</v>
      </c>
      <c r="R1198" s="985"/>
      <c r="S1198" s="985"/>
      <c r="T1198" s="1858">
        <f t="shared" si="231"/>
        <v>0</v>
      </c>
    </row>
    <row r="1199" spans="1:20" ht="22.2" hidden="1" customHeight="1">
      <c r="A1199" s="1444">
        <f>COUNTIF($C$12:C1199,"x")</f>
        <v>41</v>
      </c>
      <c r="B1199" s="1447" t="s">
        <v>2000</v>
      </c>
      <c r="C1199" s="966" t="str">
        <f t="shared" si="233"/>
        <v xml:space="preserve"> </v>
      </c>
      <c r="D1199" s="1411">
        <v>2</v>
      </c>
      <c r="E1199" s="976"/>
      <c r="F1199" s="988" t="str">
        <f>VLOOKUP($B1199,DG!A:D,DG!$C$2,)</f>
        <v>Yếm cáp dày 2mm</v>
      </c>
      <c r="G1199" s="976" t="str">
        <f>VLOOKUP($B1199,DG!A:D,DG!$D$2,)</f>
        <v>cái</v>
      </c>
      <c r="H1199" s="1689">
        <f t="shared" si="240"/>
        <v>0</v>
      </c>
      <c r="I1199" s="1689">
        <f t="shared" si="240"/>
        <v>0</v>
      </c>
      <c r="J1199" s="1689">
        <f t="shared" si="240"/>
        <v>0</v>
      </c>
      <c r="K1199" s="1689">
        <f t="shared" si="240"/>
        <v>0</v>
      </c>
      <c r="L1199" s="1689">
        <f t="shared" si="240"/>
        <v>0</v>
      </c>
      <c r="M1199" s="1689">
        <f t="shared" si="240"/>
        <v>0</v>
      </c>
      <c r="N1199" s="1689">
        <f t="shared" si="240"/>
        <v>0</v>
      </c>
      <c r="O1199" s="1689"/>
      <c r="P1199" s="1689">
        <f t="shared" si="241"/>
        <v>0</v>
      </c>
      <c r="Q1199" s="985">
        <f t="shared" si="242"/>
        <v>0</v>
      </c>
      <c r="R1199" s="985"/>
      <c r="S1199" s="985"/>
      <c r="T1199" s="1858">
        <f t="shared" si="231"/>
        <v>0</v>
      </c>
    </row>
    <row r="1200" spans="1:20" ht="22.2" hidden="1" customHeight="1">
      <c r="A1200" s="1444">
        <f>COUNTIF($C$12:C1200,"x")</f>
        <v>41</v>
      </c>
      <c r="B1200" s="1447" t="s">
        <v>2001</v>
      </c>
      <c r="C1200" s="966" t="str">
        <f t="shared" si="233"/>
        <v xml:space="preserve"> </v>
      </c>
      <c r="D1200" s="1411">
        <v>1</v>
      </c>
      <c r="E1200" s="976"/>
      <c r="F1200" s="988" t="str">
        <f>VLOOKUP($B1200,DG!A:D,DG!$C$2,)</f>
        <v>Máng che dây chằng dày 1,6mm</v>
      </c>
      <c r="G1200" s="976" t="str">
        <f>VLOOKUP($B1200,DG!A:D,DG!$D$2,)</f>
        <v>cái</v>
      </c>
      <c r="H1200" s="1689">
        <f t="shared" si="240"/>
        <v>0</v>
      </c>
      <c r="I1200" s="1689">
        <f t="shared" si="240"/>
        <v>0</v>
      </c>
      <c r="J1200" s="1689">
        <f t="shared" si="240"/>
        <v>0</v>
      </c>
      <c r="K1200" s="1689">
        <f t="shared" si="240"/>
        <v>0</v>
      </c>
      <c r="L1200" s="1689">
        <f t="shared" si="240"/>
        <v>0</v>
      </c>
      <c r="M1200" s="1689">
        <f t="shared" si="240"/>
        <v>0</v>
      </c>
      <c r="N1200" s="1689">
        <f t="shared" si="240"/>
        <v>0</v>
      </c>
      <c r="O1200" s="1689"/>
      <c r="P1200" s="1689">
        <f t="shared" si="241"/>
        <v>0</v>
      </c>
      <c r="Q1200" s="985">
        <f t="shared" si="242"/>
        <v>0</v>
      </c>
      <c r="R1200" s="985"/>
      <c r="S1200" s="985"/>
      <c r="T1200" s="1858">
        <f t="shared" si="231"/>
        <v>0</v>
      </c>
    </row>
    <row r="1201" spans="1:20" ht="22.2" hidden="1" customHeight="1">
      <c r="A1201" s="1444">
        <f>COUNTIF($C$12:C1201,"x")</f>
        <v>41</v>
      </c>
      <c r="B1201" s="1447" t="s">
        <v>1918</v>
      </c>
      <c r="C1201" s="966" t="str">
        <f t="shared" si="233"/>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41"/>
        <v>0</v>
      </c>
      <c r="Q1201" s="985">
        <f t="shared" si="242"/>
        <v>0</v>
      </c>
      <c r="R1201" s="990"/>
      <c r="S1201" s="990"/>
      <c r="T1201" s="1858">
        <f t="shared" si="231"/>
        <v>0</v>
      </c>
    </row>
    <row r="1202" spans="1:20" ht="22.2" hidden="1" customHeight="1">
      <c r="A1202" s="1444">
        <f>COUNTIF($C$12:C1202,"x")</f>
        <v>41</v>
      </c>
      <c r="B1202" s="1447" t="s">
        <v>1906</v>
      </c>
      <c r="C1202" s="966" t="str">
        <f t="shared" si="233"/>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42"/>
        <v>0</v>
      </c>
      <c r="R1202" s="990"/>
      <c r="S1202" s="990"/>
      <c r="T1202" s="1858">
        <f t="shared" si="231"/>
        <v>0</v>
      </c>
    </row>
    <row r="1203" spans="1:20" ht="22.2" hidden="1" customHeight="1">
      <c r="A1203" s="1444">
        <f>COUNTIF($C$12:C1203,"x")</f>
        <v>41</v>
      </c>
      <c r="B1203" s="1460" t="s">
        <v>356</v>
      </c>
      <c r="C1203" s="966" t="str">
        <f t="shared" si="233"/>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31"/>
        <v>0</v>
      </c>
    </row>
    <row r="1204" spans="1:20" ht="22.2" hidden="1" customHeight="1">
      <c r="A1204" s="1444">
        <f>COUNTIF($C$12:C1204,"x")</f>
        <v>41</v>
      </c>
      <c r="B1204" s="1448" t="s">
        <v>665</v>
      </c>
      <c r="C1204" s="966" t="str">
        <f t="shared" si="233"/>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2" hidden="1" customHeight="1">
      <c r="A1205" s="1444">
        <f>COUNTIF($C$12:C1205,"x")</f>
        <v>41</v>
      </c>
      <c r="B1205" s="1451" t="s">
        <v>1061</v>
      </c>
      <c r="C1205" s="966" t="str">
        <f t="shared" si="233"/>
        <v xml:space="preserve"> </v>
      </c>
      <c r="D1205" s="1411">
        <v>2</v>
      </c>
      <c r="E1205" s="976"/>
      <c r="F1205" s="988" t="str">
        <f>VLOOKUP($B1205,DG!A:D,DG!$C$2,)</f>
        <v>Boulon mắt 16x250+ 2 long đền vuông D18-50x50x3/Zn</v>
      </c>
      <c r="G1205" s="976" t="str">
        <f>VLOOKUP($B1205,DG!A:D,DG!$D$2,)</f>
        <v>bộ</v>
      </c>
      <c r="H1205" s="1689">
        <f t="shared" ref="H1205:N1210" si="243">H$1204*$D1205</f>
        <v>0</v>
      </c>
      <c r="I1205" s="1689">
        <f t="shared" si="243"/>
        <v>0</v>
      </c>
      <c r="J1205" s="1689">
        <f t="shared" si="243"/>
        <v>0</v>
      </c>
      <c r="K1205" s="1689">
        <f t="shared" si="243"/>
        <v>0</v>
      </c>
      <c r="L1205" s="1689">
        <f t="shared" si="243"/>
        <v>0</v>
      </c>
      <c r="M1205" s="1689">
        <f t="shared" si="243"/>
        <v>0</v>
      </c>
      <c r="N1205" s="1689">
        <f t="shared" si="243"/>
        <v>0</v>
      </c>
      <c r="O1205" s="1689"/>
      <c r="P1205" s="1689"/>
      <c r="Q1205" s="985"/>
      <c r="R1205" s="985"/>
      <c r="S1205" s="985"/>
      <c r="T1205" s="1858">
        <f t="shared" si="231"/>
        <v>0</v>
      </c>
    </row>
    <row r="1206" spans="1:20" ht="22.2" hidden="1" customHeight="1">
      <c r="A1206" s="1444">
        <f>COUNTIF($C$12:C1206,"x")</f>
        <v>41</v>
      </c>
      <c r="B1206" s="1451" t="s">
        <v>111</v>
      </c>
      <c r="C1206" s="966" t="str">
        <f t="shared" si="233"/>
        <v xml:space="preserve"> </v>
      </c>
      <c r="D1206" s="1411">
        <v>2</v>
      </c>
      <c r="E1206" s="976"/>
      <c r="F1206" s="988" t="str">
        <f>VLOOKUP($B1206,DG!A:D,DG!$C$2,)</f>
        <v>Sứ chằng</v>
      </c>
      <c r="G1206" s="976" t="str">
        <f>VLOOKUP($B1206,DG!A:D,DG!$D$2,)</f>
        <v>cái</v>
      </c>
      <c r="H1206" s="1689">
        <f t="shared" si="243"/>
        <v>0</v>
      </c>
      <c r="I1206" s="1689">
        <f t="shared" si="243"/>
        <v>0</v>
      </c>
      <c r="J1206" s="1689">
        <f t="shared" si="243"/>
        <v>0</v>
      </c>
      <c r="K1206" s="1689">
        <f t="shared" si="243"/>
        <v>0</v>
      </c>
      <c r="L1206" s="1689">
        <f t="shared" si="243"/>
        <v>0</v>
      </c>
      <c r="M1206" s="1689">
        <f t="shared" si="243"/>
        <v>0</v>
      </c>
      <c r="N1206" s="1689">
        <f t="shared" si="243"/>
        <v>0</v>
      </c>
      <c r="O1206" s="1689"/>
      <c r="P1206" s="1689"/>
      <c r="Q1206" s="985"/>
      <c r="R1206" s="985"/>
      <c r="S1206" s="985"/>
      <c r="T1206" s="1858">
        <f t="shared" si="231"/>
        <v>0</v>
      </c>
    </row>
    <row r="1207" spans="1:20" ht="22.2" hidden="1" customHeight="1">
      <c r="A1207" s="1444">
        <f>COUNTIF($C$12:C1207,"x")</f>
        <v>41</v>
      </c>
      <c r="B1207" s="1451" t="s">
        <v>1578</v>
      </c>
      <c r="C1207" s="966" t="str">
        <f t="shared" si="233"/>
        <v xml:space="preserve"> </v>
      </c>
      <c r="D1207" s="1411">
        <v>16</v>
      </c>
      <c r="E1207" s="976"/>
      <c r="F1207" s="988" t="str">
        <f>VLOOKUP($B1207,DG!A:D,DG!$C$2,)</f>
        <v>Kẹp cáp 3 boulon</v>
      </c>
      <c r="G1207" s="976" t="str">
        <f>VLOOKUP($B1207,DG!A:D,DG!$D$2,)</f>
        <v>cái</v>
      </c>
      <c r="H1207" s="1689">
        <f t="shared" si="243"/>
        <v>0</v>
      </c>
      <c r="I1207" s="1689">
        <f t="shared" si="243"/>
        <v>0</v>
      </c>
      <c r="J1207" s="1689">
        <f t="shared" si="243"/>
        <v>0</v>
      </c>
      <c r="K1207" s="1689">
        <f t="shared" si="243"/>
        <v>0</v>
      </c>
      <c r="L1207" s="1689">
        <f t="shared" si="243"/>
        <v>0</v>
      </c>
      <c r="M1207" s="1689">
        <f t="shared" si="243"/>
        <v>0</v>
      </c>
      <c r="N1207" s="1689">
        <f t="shared" si="243"/>
        <v>0</v>
      </c>
      <c r="O1207" s="1689"/>
      <c r="P1207" s="1689"/>
      <c r="Q1207" s="985"/>
      <c r="R1207" s="985"/>
      <c r="S1207" s="985"/>
      <c r="T1207" s="1858">
        <f t="shared" si="231"/>
        <v>0</v>
      </c>
    </row>
    <row r="1208" spans="1:20" ht="22.2" hidden="1" customHeight="1">
      <c r="A1208" s="1444">
        <f>COUNTIF($C$12:C1208,"x")</f>
        <v>41</v>
      </c>
      <c r="B1208" s="1451" t="s">
        <v>1359</v>
      </c>
      <c r="C1208" s="966" t="str">
        <f t="shared" si="233"/>
        <v xml:space="preserve"> </v>
      </c>
      <c r="D1208" s="1411">
        <v>35</v>
      </c>
      <c r="E1208" s="976"/>
      <c r="F1208" s="988" t="str">
        <f>VLOOKUP($B1208,DG!A:D,DG!$C$2,)</f>
        <v>Cáp thép 5/8"</v>
      </c>
      <c r="G1208" s="976" t="str">
        <f>VLOOKUP($B1208,DG!A:D,DG!$D$2,)</f>
        <v>kg</v>
      </c>
      <c r="H1208" s="1689">
        <f t="shared" si="243"/>
        <v>0</v>
      </c>
      <c r="I1208" s="1689">
        <f t="shared" si="243"/>
        <v>0</v>
      </c>
      <c r="J1208" s="1689">
        <f t="shared" si="243"/>
        <v>0</v>
      </c>
      <c r="K1208" s="1689">
        <f t="shared" si="243"/>
        <v>0</v>
      </c>
      <c r="L1208" s="1689">
        <f t="shared" si="243"/>
        <v>0</v>
      </c>
      <c r="M1208" s="1689">
        <f t="shared" si="243"/>
        <v>0</v>
      </c>
      <c r="N1208" s="1689">
        <f t="shared" si="243"/>
        <v>0</v>
      </c>
      <c r="O1208" s="1689"/>
      <c r="P1208" s="1689"/>
      <c r="Q1208" s="985"/>
      <c r="R1208" s="985"/>
      <c r="S1208" s="985"/>
      <c r="T1208" s="1858">
        <f t="shared" si="231"/>
        <v>0</v>
      </c>
    </row>
    <row r="1209" spans="1:20" ht="22.2" hidden="1" customHeight="1">
      <c r="A1209" s="1444">
        <f>COUNTIF($C$12:C1209,"x")</f>
        <v>41</v>
      </c>
      <c r="B1209" s="1451" t="s">
        <v>2000</v>
      </c>
      <c r="C1209" s="966" t="str">
        <f t="shared" si="233"/>
        <v xml:space="preserve"> </v>
      </c>
      <c r="D1209" s="1411">
        <v>4</v>
      </c>
      <c r="E1209" s="976"/>
      <c r="F1209" s="988" t="str">
        <f>VLOOKUP($B1209,DG!A:D,DG!$C$2,)</f>
        <v>Yếm cáp dày 2mm</v>
      </c>
      <c r="G1209" s="976" t="str">
        <f>VLOOKUP($B1209,DG!A:D,DG!$D$2,)</f>
        <v>cái</v>
      </c>
      <c r="H1209" s="1689">
        <f t="shared" si="243"/>
        <v>0</v>
      </c>
      <c r="I1209" s="1689">
        <f t="shared" si="243"/>
        <v>0</v>
      </c>
      <c r="J1209" s="1689">
        <f t="shared" si="243"/>
        <v>0</v>
      </c>
      <c r="K1209" s="1689">
        <f t="shared" si="243"/>
        <v>0</v>
      </c>
      <c r="L1209" s="1689">
        <f t="shared" si="243"/>
        <v>0</v>
      </c>
      <c r="M1209" s="1689">
        <f t="shared" si="243"/>
        <v>0</v>
      </c>
      <c r="N1209" s="1689">
        <f t="shared" si="243"/>
        <v>0</v>
      </c>
      <c r="O1209" s="1689"/>
      <c r="P1209" s="1689"/>
      <c r="Q1209" s="985"/>
      <c r="R1209" s="985"/>
      <c r="S1209" s="985"/>
      <c r="T1209" s="1858">
        <f t="shared" si="231"/>
        <v>0</v>
      </c>
    </row>
    <row r="1210" spans="1:20" ht="22.2" hidden="1" customHeight="1">
      <c r="A1210" s="1444">
        <f>COUNTIF($C$12:C1210,"x")</f>
        <v>41</v>
      </c>
      <c r="B1210" s="1451" t="s">
        <v>2001</v>
      </c>
      <c r="C1210" s="966" t="str">
        <f t="shared" si="233"/>
        <v xml:space="preserve"> </v>
      </c>
      <c r="D1210" s="1411">
        <v>2</v>
      </c>
      <c r="E1210" s="976"/>
      <c r="F1210" s="988" t="str">
        <f>VLOOKUP($B1210,DG!A:D,DG!$C$2,)</f>
        <v>Máng che dây chằng dày 1,6mm</v>
      </c>
      <c r="G1210" s="976" t="str">
        <f>VLOOKUP($B1210,DG!A:D,DG!$D$2,)</f>
        <v>cái</v>
      </c>
      <c r="H1210" s="1689">
        <f t="shared" si="243"/>
        <v>0</v>
      </c>
      <c r="I1210" s="1689">
        <f t="shared" si="243"/>
        <v>0</v>
      </c>
      <c r="J1210" s="1689">
        <f t="shared" si="243"/>
        <v>0</v>
      </c>
      <c r="K1210" s="1689">
        <f t="shared" si="243"/>
        <v>0</v>
      </c>
      <c r="L1210" s="1689">
        <f t="shared" si="243"/>
        <v>0</v>
      </c>
      <c r="M1210" s="1689">
        <f t="shared" si="243"/>
        <v>0</v>
      </c>
      <c r="N1210" s="1689">
        <f t="shared" si="243"/>
        <v>0</v>
      </c>
      <c r="O1210" s="1689"/>
      <c r="P1210" s="1689"/>
      <c r="Q1210" s="985"/>
      <c r="R1210" s="985"/>
      <c r="S1210" s="985"/>
      <c r="T1210" s="1858">
        <f t="shared" si="231"/>
        <v>0</v>
      </c>
    </row>
    <row r="1211" spans="1:20" ht="22.2" hidden="1" customHeight="1">
      <c r="A1211" s="1444">
        <f>COUNTIF($C$12:C1211,"x")</f>
        <v>41</v>
      </c>
      <c r="B1211" s="1451" t="s">
        <v>1918</v>
      </c>
      <c r="C1211" s="966" t="str">
        <f t="shared" si="233"/>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31"/>
        <v>0</v>
      </c>
    </row>
    <row r="1212" spans="1:20" ht="22.2" hidden="1" customHeight="1">
      <c r="A1212" s="1444">
        <f>COUNTIF($C$12:C1212,"x")</f>
        <v>41</v>
      </c>
      <c r="B1212" s="1460" t="s">
        <v>356</v>
      </c>
      <c r="C1212" s="966" t="str">
        <f t="shared" si="233"/>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31"/>
        <v>0</v>
      </c>
    </row>
    <row r="1213" spans="1:20" ht="22.2" hidden="1" customHeight="1">
      <c r="A1213" s="1444">
        <f>COUNTIF($C$12:C1213,"x")</f>
        <v>41</v>
      </c>
      <c r="B1213" s="1448" t="s">
        <v>666</v>
      </c>
      <c r="C1213" s="966" t="str">
        <f t="shared" si="233"/>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2" hidden="1" customHeight="1">
      <c r="A1214" s="1444">
        <f>COUNTIF($C$12:C1214,"x")</f>
        <v>41</v>
      </c>
      <c r="B1214" s="1451" t="s">
        <v>1061</v>
      </c>
      <c r="C1214" s="966" t="str">
        <f t="shared" si="233"/>
        <v xml:space="preserve"> </v>
      </c>
      <c r="D1214" s="1411">
        <v>1</v>
      </c>
      <c r="E1214" s="976"/>
      <c r="F1214" s="988" t="str">
        <f>VLOOKUP($B1214,DG!A:D,DG!$C$2,)</f>
        <v>Boulon mắt 16x250+ 2 long đền vuông D18-50x50x3/Zn</v>
      </c>
      <c r="G1214" s="976" t="str">
        <f>VLOOKUP($B1214,DG!A:D,DG!$D$2,)</f>
        <v>bộ</v>
      </c>
      <c r="H1214" s="1689">
        <f t="shared" ref="H1214:N1219" si="244">H$1213*$D1214</f>
        <v>0</v>
      </c>
      <c r="I1214" s="1689">
        <f t="shared" si="244"/>
        <v>0</v>
      </c>
      <c r="J1214" s="1689">
        <f t="shared" si="244"/>
        <v>0</v>
      </c>
      <c r="K1214" s="1689">
        <f t="shared" si="244"/>
        <v>0</v>
      </c>
      <c r="L1214" s="1689">
        <f t="shared" si="244"/>
        <v>0</v>
      </c>
      <c r="M1214" s="1689">
        <f t="shared" si="244"/>
        <v>0</v>
      </c>
      <c r="N1214" s="1689">
        <f t="shared" si="244"/>
        <v>0</v>
      </c>
      <c r="O1214" s="1689"/>
      <c r="P1214" s="1689"/>
      <c r="Q1214" s="985"/>
      <c r="R1214" s="985"/>
      <c r="S1214" s="985"/>
      <c r="T1214" s="1858">
        <f t="shared" si="231"/>
        <v>0</v>
      </c>
    </row>
    <row r="1215" spans="1:20" ht="22.2" hidden="1" customHeight="1">
      <c r="A1215" s="1444">
        <f>COUNTIF($C$12:C1215,"x")</f>
        <v>41</v>
      </c>
      <c r="B1215" s="1451" t="s">
        <v>111</v>
      </c>
      <c r="C1215" s="966" t="str">
        <f t="shared" si="233"/>
        <v xml:space="preserve"> </v>
      </c>
      <c r="D1215" s="1411">
        <v>1</v>
      </c>
      <c r="E1215" s="976"/>
      <c r="F1215" s="988" t="str">
        <f>VLOOKUP($B1215,DG!A:D,DG!$C$2,)</f>
        <v>Sứ chằng</v>
      </c>
      <c r="G1215" s="976" t="str">
        <f>VLOOKUP($B1215,DG!A:D,DG!$D$2,)</f>
        <v>cái</v>
      </c>
      <c r="H1215" s="1689">
        <f t="shared" si="244"/>
        <v>0</v>
      </c>
      <c r="I1215" s="1689">
        <f t="shared" si="244"/>
        <v>0</v>
      </c>
      <c r="J1215" s="1689">
        <f t="shared" si="244"/>
        <v>0</v>
      </c>
      <c r="K1215" s="1689">
        <f t="shared" si="244"/>
        <v>0</v>
      </c>
      <c r="L1215" s="1689">
        <f t="shared" si="244"/>
        <v>0</v>
      </c>
      <c r="M1215" s="1689">
        <f t="shared" si="244"/>
        <v>0</v>
      </c>
      <c r="N1215" s="1689">
        <f t="shared" si="244"/>
        <v>0</v>
      </c>
      <c r="O1215" s="1689"/>
      <c r="P1215" s="1689"/>
      <c r="Q1215" s="985"/>
      <c r="R1215" s="985"/>
      <c r="S1215" s="985"/>
      <c r="T1215" s="1858">
        <f t="shared" ref="T1215:T1278" si="245">IFERROR(HLOOKUP(B1215,BangKeTru,3,0),0)</f>
        <v>0</v>
      </c>
    </row>
    <row r="1216" spans="1:20" ht="22.2" hidden="1" customHeight="1">
      <c r="A1216" s="1444">
        <f>COUNTIF($C$12:C1216,"x")</f>
        <v>41</v>
      </c>
      <c r="B1216" s="1451" t="s">
        <v>1578</v>
      </c>
      <c r="C1216" s="966" t="str">
        <f t="shared" si="233"/>
        <v xml:space="preserve"> </v>
      </c>
      <c r="D1216" s="1411">
        <v>8</v>
      </c>
      <c r="E1216" s="976"/>
      <c r="F1216" s="988" t="str">
        <f>VLOOKUP($B1216,DG!A:D,DG!$C$2,)</f>
        <v>Kẹp cáp 3 boulon</v>
      </c>
      <c r="G1216" s="976" t="str">
        <f>VLOOKUP($B1216,DG!A:D,DG!$D$2,)</f>
        <v>cái</v>
      </c>
      <c r="H1216" s="1689">
        <f t="shared" si="244"/>
        <v>0</v>
      </c>
      <c r="I1216" s="1689">
        <f t="shared" si="244"/>
        <v>0</v>
      </c>
      <c r="J1216" s="1689">
        <f t="shared" si="244"/>
        <v>0</v>
      </c>
      <c r="K1216" s="1689">
        <f t="shared" si="244"/>
        <v>0</v>
      </c>
      <c r="L1216" s="1689">
        <f t="shared" si="244"/>
        <v>0</v>
      </c>
      <c r="M1216" s="1689">
        <f t="shared" si="244"/>
        <v>0</v>
      </c>
      <c r="N1216" s="1689">
        <f t="shared" si="244"/>
        <v>0</v>
      </c>
      <c r="O1216" s="1689"/>
      <c r="P1216" s="1689"/>
      <c r="Q1216" s="985"/>
      <c r="R1216" s="985"/>
      <c r="S1216" s="985"/>
      <c r="T1216" s="1858">
        <f t="shared" si="245"/>
        <v>0</v>
      </c>
    </row>
    <row r="1217" spans="1:20" ht="22.2" hidden="1" customHeight="1">
      <c r="A1217" s="1444">
        <f>COUNTIF($C$12:C1217,"x")</f>
        <v>41</v>
      </c>
      <c r="B1217" s="1451" t="s">
        <v>275</v>
      </c>
      <c r="C1217" s="966" t="str">
        <f t="shared" si="233"/>
        <v xml:space="preserve"> </v>
      </c>
      <c r="D1217" s="1411">
        <v>20</v>
      </c>
      <c r="E1217" s="976"/>
      <c r="F1217" s="988" t="str">
        <f>VLOOKUP($B1217,DG!A:D,DG!$C$2,)</f>
        <v>Cáp thép 3/8"</v>
      </c>
      <c r="G1217" s="976" t="str">
        <f>VLOOKUP($B1217,DG!A:D,DG!$D$2,)</f>
        <v>kg</v>
      </c>
      <c r="H1217" s="1689">
        <f t="shared" si="244"/>
        <v>0</v>
      </c>
      <c r="I1217" s="1689">
        <f t="shared" si="244"/>
        <v>0</v>
      </c>
      <c r="J1217" s="1689">
        <f t="shared" si="244"/>
        <v>0</v>
      </c>
      <c r="K1217" s="1689">
        <f t="shared" si="244"/>
        <v>0</v>
      </c>
      <c r="L1217" s="1689">
        <f t="shared" si="244"/>
        <v>0</v>
      </c>
      <c r="M1217" s="1689">
        <f t="shared" si="244"/>
        <v>0</v>
      </c>
      <c r="N1217" s="1689">
        <f t="shared" si="244"/>
        <v>0</v>
      </c>
      <c r="O1217" s="1689"/>
      <c r="P1217" s="1689"/>
      <c r="Q1217" s="985"/>
      <c r="R1217" s="985"/>
      <c r="S1217" s="985"/>
      <c r="T1217" s="1858">
        <f t="shared" si="245"/>
        <v>0</v>
      </c>
    </row>
    <row r="1218" spans="1:20" ht="22.2" hidden="1" customHeight="1">
      <c r="A1218" s="1444">
        <f>COUNTIF($C$12:C1218,"x")</f>
        <v>41</v>
      </c>
      <c r="B1218" s="1451" t="s">
        <v>2000</v>
      </c>
      <c r="C1218" s="966" t="str">
        <f t="shared" si="233"/>
        <v xml:space="preserve"> </v>
      </c>
      <c r="D1218" s="1411">
        <v>2</v>
      </c>
      <c r="E1218" s="976"/>
      <c r="F1218" s="988" t="str">
        <f>VLOOKUP($B1218,DG!A:D,DG!$C$2,)</f>
        <v>Yếm cáp dày 2mm</v>
      </c>
      <c r="G1218" s="976" t="str">
        <f>VLOOKUP($B1218,DG!A:D,DG!$D$2,)</f>
        <v>cái</v>
      </c>
      <c r="H1218" s="1689">
        <f t="shared" si="244"/>
        <v>0</v>
      </c>
      <c r="I1218" s="1689">
        <f t="shared" si="244"/>
        <v>0</v>
      </c>
      <c r="J1218" s="1689">
        <f t="shared" si="244"/>
        <v>0</v>
      </c>
      <c r="K1218" s="1689">
        <f t="shared" si="244"/>
        <v>0</v>
      </c>
      <c r="L1218" s="1689">
        <f t="shared" si="244"/>
        <v>0</v>
      </c>
      <c r="M1218" s="1689">
        <f t="shared" si="244"/>
        <v>0</v>
      </c>
      <c r="N1218" s="1689">
        <f t="shared" si="244"/>
        <v>0</v>
      </c>
      <c r="O1218" s="1689"/>
      <c r="P1218" s="1689"/>
      <c r="Q1218" s="985"/>
      <c r="R1218" s="985"/>
      <c r="S1218" s="985"/>
      <c r="T1218" s="1858">
        <f t="shared" si="245"/>
        <v>0</v>
      </c>
    </row>
    <row r="1219" spans="1:20" ht="22.2" hidden="1" customHeight="1">
      <c r="A1219" s="1444">
        <f>COUNTIF($C$12:C1219,"x")</f>
        <v>41</v>
      </c>
      <c r="B1219" s="1451" t="s">
        <v>2001</v>
      </c>
      <c r="C1219" s="966" t="str">
        <f t="shared" si="233"/>
        <v xml:space="preserve"> </v>
      </c>
      <c r="D1219" s="1411">
        <v>1</v>
      </c>
      <c r="E1219" s="976"/>
      <c r="F1219" s="988" t="str">
        <f>VLOOKUP($B1219,DG!A:D,DG!$C$2,)</f>
        <v>Máng che dây chằng dày 1,6mm</v>
      </c>
      <c r="G1219" s="976" t="str">
        <f>VLOOKUP($B1219,DG!A:D,DG!$D$2,)</f>
        <v>cái</v>
      </c>
      <c r="H1219" s="1689">
        <f t="shared" si="244"/>
        <v>0</v>
      </c>
      <c r="I1219" s="1689">
        <f t="shared" si="244"/>
        <v>0</v>
      </c>
      <c r="J1219" s="1689">
        <f t="shared" si="244"/>
        <v>0</v>
      </c>
      <c r="K1219" s="1689">
        <f t="shared" si="244"/>
        <v>0</v>
      </c>
      <c r="L1219" s="1689">
        <f t="shared" si="244"/>
        <v>0</v>
      </c>
      <c r="M1219" s="1689">
        <f t="shared" si="244"/>
        <v>0</v>
      </c>
      <c r="N1219" s="1689">
        <f t="shared" si="244"/>
        <v>0</v>
      </c>
      <c r="O1219" s="1689"/>
      <c r="P1219" s="1689"/>
      <c r="Q1219" s="985"/>
      <c r="R1219" s="985"/>
      <c r="S1219" s="985"/>
      <c r="T1219" s="1858">
        <f t="shared" si="245"/>
        <v>0</v>
      </c>
    </row>
    <row r="1220" spans="1:20" ht="22.2" hidden="1" customHeight="1">
      <c r="A1220" s="1444">
        <f>COUNTIF($C$12:C1220,"x")</f>
        <v>41</v>
      </c>
      <c r="B1220" s="1451" t="s">
        <v>1918</v>
      </c>
      <c r="C1220" s="966" t="str">
        <f t="shared" si="233"/>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5"/>
        <v>0</v>
      </c>
    </row>
    <row r="1221" spans="1:20" ht="22.2" hidden="1" customHeight="1">
      <c r="A1221" s="1444">
        <f>COUNTIF($C$12:C1221,"x")</f>
        <v>41</v>
      </c>
      <c r="B1221" s="1460" t="s">
        <v>356</v>
      </c>
      <c r="C1221" s="966" t="str">
        <f t="shared" si="233"/>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5"/>
        <v>0</v>
      </c>
    </row>
    <row r="1222" spans="1:20" ht="22.2" hidden="1" customHeight="1">
      <c r="A1222" s="1444">
        <f>COUNTIF($C$12:C1222,"x")</f>
        <v>41</v>
      </c>
      <c r="B1222" s="1448" t="s">
        <v>912</v>
      </c>
      <c r="C1222" s="966" t="str">
        <f t="shared" si="233"/>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2" hidden="1" customHeight="1">
      <c r="A1223" s="1444">
        <f>COUNTIF($C$12:C1223,"x")</f>
        <v>41</v>
      </c>
      <c r="B1223" s="1451" t="s">
        <v>1061</v>
      </c>
      <c r="C1223" s="966" t="str">
        <f t="shared" ref="C1223:C1286" si="246">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7">H$1222*$D1223</f>
        <v>0</v>
      </c>
      <c r="I1223" s="1689">
        <f t="shared" si="247"/>
        <v>0</v>
      </c>
      <c r="J1223" s="1689">
        <f t="shared" si="247"/>
        <v>0</v>
      </c>
      <c r="K1223" s="1689">
        <f t="shared" si="247"/>
        <v>0</v>
      </c>
      <c r="L1223" s="1689">
        <f t="shared" si="247"/>
        <v>0</v>
      </c>
      <c r="M1223" s="1689">
        <f t="shared" si="247"/>
        <v>0</v>
      </c>
      <c r="N1223" s="1689">
        <f t="shared" si="247"/>
        <v>0</v>
      </c>
      <c r="O1223" s="1689"/>
      <c r="P1223" s="1689"/>
      <c r="Q1223" s="985"/>
      <c r="R1223" s="985"/>
      <c r="S1223" s="985"/>
      <c r="T1223" s="1858">
        <f t="shared" si="245"/>
        <v>0</v>
      </c>
    </row>
    <row r="1224" spans="1:20" ht="22.2" hidden="1" customHeight="1">
      <c r="A1224" s="1444">
        <f>COUNTIF($C$12:C1224,"x")</f>
        <v>41</v>
      </c>
      <c r="B1224" s="1451" t="s">
        <v>111</v>
      </c>
      <c r="C1224" s="966" t="str">
        <f t="shared" si="246"/>
        <v xml:space="preserve"> </v>
      </c>
      <c r="D1224" s="1411">
        <v>1</v>
      </c>
      <c r="E1224" s="976"/>
      <c r="F1224" s="988" t="str">
        <f>VLOOKUP($B1224,DG!A:D,DG!$C$2,)</f>
        <v>Sứ chằng</v>
      </c>
      <c r="G1224" s="976" t="str">
        <f>VLOOKUP($B1224,DG!A:D,DG!$D$2,)</f>
        <v>cái</v>
      </c>
      <c r="H1224" s="1689">
        <f t="shared" si="247"/>
        <v>0</v>
      </c>
      <c r="I1224" s="1689">
        <f t="shared" si="247"/>
        <v>0</v>
      </c>
      <c r="J1224" s="1689">
        <f t="shared" si="247"/>
        <v>0</v>
      </c>
      <c r="K1224" s="1689">
        <f t="shared" si="247"/>
        <v>0</v>
      </c>
      <c r="L1224" s="1689">
        <f t="shared" si="247"/>
        <v>0</v>
      </c>
      <c r="M1224" s="1689">
        <f t="shared" si="247"/>
        <v>0</v>
      </c>
      <c r="N1224" s="1689">
        <f t="shared" si="247"/>
        <v>0</v>
      </c>
      <c r="O1224" s="1689"/>
      <c r="P1224" s="1689"/>
      <c r="Q1224" s="985"/>
      <c r="R1224" s="985"/>
      <c r="S1224" s="985"/>
      <c r="T1224" s="1858">
        <f t="shared" si="245"/>
        <v>0</v>
      </c>
    </row>
    <row r="1225" spans="1:20" ht="22.2" hidden="1" customHeight="1">
      <c r="A1225" s="1444">
        <f>COUNTIF($C$12:C1225,"x")</f>
        <v>41</v>
      </c>
      <c r="B1225" s="1451" t="s">
        <v>1578</v>
      </c>
      <c r="C1225" s="966" t="str">
        <f t="shared" si="246"/>
        <v xml:space="preserve"> </v>
      </c>
      <c r="D1225" s="1411">
        <v>8</v>
      </c>
      <c r="E1225" s="976"/>
      <c r="F1225" s="988" t="str">
        <f>VLOOKUP($B1225,DG!A:D,DG!$C$2,)</f>
        <v>Kẹp cáp 3 boulon</v>
      </c>
      <c r="G1225" s="976" t="str">
        <f>VLOOKUP($B1225,DG!A:D,DG!$D$2,)</f>
        <v>cái</v>
      </c>
      <c r="H1225" s="1689">
        <f t="shared" si="247"/>
        <v>0</v>
      </c>
      <c r="I1225" s="1689">
        <f t="shared" si="247"/>
        <v>0</v>
      </c>
      <c r="J1225" s="1689">
        <f t="shared" si="247"/>
        <v>0</v>
      </c>
      <c r="K1225" s="1689">
        <f t="shared" si="247"/>
        <v>0</v>
      </c>
      <c r="L1225" s="1689">
        <f t="shared" si="247"/>
        <v>0</v>
      </c>
      <c r="M1225" s="1689">
        <f t="shared" si="247"/>
        <v>0</v>
      </c>
      <c r="N1225" s="1689">
        <f t="shared" si="247"/>
        <v>0</v>
      </c>
      <c r="O1225" s="1689"/>
      <c r="P1225" s="1689"/>
      <c r="Q1225" s="985"/>
      <c r="R1225" s="985"/>
      <c r="S1225" s="985"/>
      <c r="T1225" s="1858">
        <f t="shared" si="245"/>
        <v>0</v>
      </c>
    </row>
    <row r="1226" spans="1:20" ht="22.2" hidden="1" customHeight="1">
      <c r="A1226" s="1444">
        <f>COUNTIF($C$12:C1226,"x")</f>
        <v>41</v>
      </c>
      <c r="B1226" s="1451" t="s">
        <v>275</v>
      </c>
      <c r="C1226" s="966" t="str">
        <f t="shared" si="246"/>
        <v xml:space="preserve"> </v>
      </c>
      <c r="D1226" s="1411">
        <v>15</v>
      </c>
      <c r="E1226" s="976"/>
      <c r="F1226" s="988" t="str">
        <f>VLOOKUP($B1226,DG!A:D,DG!$C$2,)</f>
        <v>Cáp thép 3/8"</v>
      </c>
      <c r="G1226" s="976" t="str">
        <f>VLOOKUP($B1226,DG!A:D,DG!$D$2,)</f>
        <v>kg</v>
      </c>
      <c r="H1226" s="1689">
        <f t="shared" si="247"/>
        <v>0</v>
      </c>
      <c r="I1226" s="1689">
        <f t="shared" si="247"/>
        <v>0</v>
      </c>
      <c r="J1226" s="1689">
        <f t="shared" si="247"/>
        <v>0</v>
      </c>
      <c r="K1226" s="1689">
        <f t="shared" si="247"/>
        <v>0</v>
      </c>
      <c r="L1226" s="1689">
        <f t="shared" si="247"/>
        <v>0</v>
      </c>
      <c r="M1226" s="1689">
        <f t="shared" si="247"/>
        <v>0</v>
      </c>
      <c r="N1226" s="1689">
        <f t="shared" si="247"/>
        <v>0</v>
      </c>
      <c r="O1226" s="1689"/>
      <c r="P1226" s="1689"/>
      <c r="Q1226" s="985"/>
      <c r="R1226" s="985"/>
      <c r="S1226" s="985"/>
      <c r="T1226" s="1858">
        <f t="shared" si="245"/>
        <v>0</v>
      </c>
    </row>
    <row r="1227" spans="1:20" ht="22.2" hidden="1" customHeight="1">
      <c r="A1227" s="1444">
        <f>COUNTIF($C$12:C1227,"x")</f>
        <v>41</v>
      </c>
      <c r="B1227" s="1451" t="s">
        <v>607</v>
      </c>
      <c r="C1227" s="966" t="str">
        <f t="shared" si="246"/>
        <v xml:space="preserve"> </v>
      </c>
      <c r="D1227" s="1411">
        <v>1</v>
      </c>
      <c r="E1227" s="976"/>
      <c r="F1227" s="988" t="str">
        <f>VLOOKUP($B1227,DG!A:D,DG!$C$2,)</f>
        <v>Bộ chống chằng hẹp Ø60/50x1500+2BL12x40+BL16x250/80</v>
      </c>
      <c r="G1227" s="976" t="str">
        <f>VLOOKUP($B1227,DG!A:D,DG!$D$2,)</f>
        <v>bộ</v>
      </c>
      <c r="H1227" s="1689">
        <f t="shared" si="247"/>
        <v>0</v>
      </c>
      <c r="I1227" s="1689">
        <f t="shared" si="247"/>
        <v>0</v>
      </c>
      <c r="J1227" s="1689">
        <f t="shared" si="247"/>
        <v>0</v>
      </c>
      <c r="K1227" s="1689">
        <f t="shared" si="247"/>
        <v>0</v>
      </c>
      <c r="L1227" s="1689">
        <f t="shared" si="247"/>
        <v>0</v>
      </c>
      <c r="M1227" s="1689">
        <f t="shared" si="247"/>
        <v>0</v>
      </c>
      <c r="N1227" s="1689">
        <f t="shared" si="247"/>
        <v>0</v>
      </c>
      <c r="O1227" s="1689"/>
      <c r="P1227" s="1689"/>
      <c r="Q1227" s="985"/>
      <c r="R1227" s="985"/>
      <c r="S1227" s="985"/>
      <c r="T1227" s="1858">
        <f t="shared" si="245"/>
        <v>0</v>
      </c>
    </row>
    <row r="1228" spans="1:20" ht="22.2" hidden="1" customHeight="1">
      <c r="A1228" s="1444">
        <f>COUNTIF($C$12:C1228,"x")</f>
        <v>41</v>
      </c>
      <c r="B1228" s="1451" t="s">
        <v>2000</v>
      </c>
      <c r="C1228" s="966" t="str">
        <f t="shared" si="246"/>
        <v xml:space="preserve"> </v>
      </c>
      <c r="D1228" s="1411">
        <v>2</v>
      </c>
      <c r="E1228" s="976"/>
      <c r="F1228" s="988" t="str">
        <f>VLOOKUP($B1228,DG!A:D,DG!$C$2,)</f>
        <v>Yếm cáp dày 2mm</v>
      </c>
      <c r="G1228" s="976" t="str">
        <f>VLOOKUP($B1228,DG!A:D,DG!$D$2,)</f>
        <v>cái</v>
      </c>
      <c r="H1228" s="1689">
        <f t="shared" si="247"/>
        <v>0</v>
      </c>
      <c r="I1228" s="1689">
        <f t="shared" si="247"/>
        <v>0</v>
      </c>
      <c r="J1228" s="1689">
        <f t="shared" si="247"/>
        <v>0</v>
      </c>
      <c r="K1228" s="1689">
        <f t="shared" si="247"/>
        <v>0</v>
      </c>
      <c r="L1228" s="1689">
        <f t="shared" si="247"/>
        <v>0</v>
      </c>
      <c r="M1228" s="1689">
        <f t="shared" si="247"/>
        <v>0</v>
      </c>
      <c r="N1228" s="1689">
        <f t="shared" si="247"/>
        <v>0</v>
      </c>
      <c r="O1228" s="1689"/>
      <c r="P1228" s="1689"/>
      <c r="Q1228" s="985"/>
      <c r="R1228" s="985"/>
      <c r="S1228" s="985"/>
      <c r="T1228" s="1858">
        <f t="shared" si="245"/>
        <v>0</v>
      </c>
    </row>
    <row r="1229" spans="1:20" ht="22.2" hidden="1" customHeight="1">
      <c r="A1229" s="1444">
        <f>COUNTIF($C$12:C1229,"x")</f>
        <v>41</v>
      </c>
      <c r="B1229" s="1451" t="s">
        <v>2001</v>
      </c>
      <c r="C1229" s="966" t="str">
        <f t="shared" si="246"/>
        <v xml:space="preserve"> </v>
      </c>
      <c r="D1229" s="1411">
        <v>1</v>
      </c>
      <c r="E1229" s="976"/>
      <c r="F1229" s="988" t="str">
        <f>VLOOKUP($B1229,DG!A:D,DG!$C$2,)</f>
        <v>Máng che dây chằng dày 1,6mm</v>
      </c>
      <c r="G1229" s="976" t="str">
        <f>VLOOKUP($B1229,DG!A:D,DG!$D$2,)</f>
        <v>cái</v>
      </c>
      <c r="H1229" s="1689">
        <f t="shared" si="247"/>
        <v>0</v>
      </c>
      <c r="I1229" s="1689">
        <f t="shared" si="247"/>
        <v>0</v>
      </c>
      <c r="J1229" s="1689">
        <f t="shared" si="247"/>
        <v>0</v>
      </c>
      <c r="K1229" s="1689">
        <f t="shared" si="247"/>
        <v>0</v>
      </c>
      <c r="L1229" s="1689">
        <f t="shared" si="247"/>
        <v>0</v>
      </c>
      <c r="M1229" s="1689">
        <f t="shared" si="247"/>
        <v>0</v>
      </c>
      <c r="N1229" s="1689">
        <f t="shared" si="247"/>
        <v>0</v>
      </c>
      <c r="O1229" s="1689"/>
      <c r="P1229" s="1689"/>
      <c r="Q1229" s="985"/>
      <c r="R1229" s="985"/>
      <c r="S1229" s="985"/>
      <c r="T1229" s="1858">
        <f t="shared" si="245"/>
        <v>0</v>
      </c>
    </row>
    <row r="1230" spans="1:20" ht="22.2" hidden="1" customHeight="1">
      <c r="A1230" s="1444">
        <f>COUNTIF($C$12:C1230,"x")</f>
        <v>41</v>
      </c>
      <c r="B1230" s="1451" t="s">
        <v>1918</v>
      </c>
      <c r="C1230" s="966" t="str">
        <f t="shared" si="246"/>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5"/>
        <v>0</v>
      </c>
    </row>
    <row r="1231" spans="1:20" ht="22.2" hidden="1" customHeight="1">
      <c r="A1231" s="1444">
        <f>COUNTIF($C$12:C1231,"x")</f>
        <v>41</v>
      </c>
      <c r="B1231" s="1451" t="s">
        <v>1906</v>
      </c>
      <c r="C1231" s="966" t="str">
        <f t="shared" si="246"/>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5"/>
        <v>0</v>
      </c>
    </row>
    <row r="1232" spans="1:20" ht="22.2" hidden="1" customHeight="1">
      <c r="A1232" s="1444">
        <f>COUNTIF($C$12:C1232,"x")</f>
        <v>41</v>
      </c>
      <c r="B1232" s="1460" t="s">
        <v>356</v>
      </c>
      <c r="C1232" s="966" t="str">
        <f t="shared" si="246"/>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5"/>
        <v>0</v>
      </c>
    </row>
    <row r="1233" spans="1:20" ht="22.2" hidden="1" customHeight="1">
      <c r="A1233" s="1444">
        <f>COUNTIF($C$12:C1233,"x")</f>
        <v>41</v>
      </c>
      <c r="B1233" s="1448" t="s">
        <v>913</v>
      </c>
      <c r="C1233" s="966" t="str">
        <f t="shared" si="246"/>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2" hidden="1" customHeight="1">
      <c r="A1234" s="1444">
        <f>COUNTIF($C$12:C1234,"x")</f>
        <v>41</v>
      </c>
      <c r="B1234" s="1451" t="s">
        <v>1061</v>
      </c>
      <c r="C1234" s="966" t="str">
        <f t="shared" si="246"/>
        <v xml:space="preserve"> </v>
      </c>
      <c r="D1234" s="1411">
        <v>2</v>
      </c>
      <c r="E1234" s="976"/>
      <c r="F1234" s="988" t="str">
        <f>VLOOKUP($B1234,DG!A:D,DG!$C$2,)</f>
        <v>Boulon mắt 16x250+ 2 long đền vuông D18-50x50x3/Zn</v>
      </c>
      <c r="G1234" s="976" t="str">
        <f>VLOOKUP($B1234,DG!A:D,DG!$D$2,)</f>
        <v>bộ</v>
      </c>
      <c r="H1234" s="1689">
        <f t="shared" ref="H1234:N1239" si="248">H$1233*$D1234</f>
        <v>0</v>
      </c>
      <c r="I1234" s="1689">
        <f t="shared" si="248"/>
        <v>0</v>
      </c>
      <c r="J1234" s="1689">
        <f t="shared" si="248"/>
        <v>0</v>
      </c>
      <c r="K1234" s="1689">
        <f t="shared" si="248"/>
        <v>0</v>
      </c>
      <c r="L1234" s="1689">
        <f t="shared" si="248"/>
        <v>0</v>
      </c>
      <c r="M1234" s="1689">
        <f t="shared" si="248"/>
        <v>0</v>
      </c>
      <c r="N1234" s="1689">
        <f t="shared" si="248"/>
        <v>0</v>
      </c>
      <c r="O1234" s="1689"/>
      <c r="P1234" s="1689"/>
      <c r="Q1234" s="985"/>
      <c r="R1234" s="985"/>
      <c r="S1234" s="985"/>
      <c r="T1234" s="1858">
        <f t="shared" si="245"/>
        <v>0</v>
      </c>
    </row>
    <row r="1235" spans="1:20" ht="22.2" hidden="1" customHeight="1">
      <c r="A1235" s="1444">
        <f>COUNTIF($C$12:C1235,"x")</f>
        <v>41</v>
      </c>
      <c r="B1235" s="1451" t="s">
        <v>111</v>
      </c>
      <c r="C1235" s="966" t="str">
        <f t="shared" si="246"/>
        <v xml:space="preserve"> </v>
      </c>
      <c r="D1235" s="1411">
        <v>2</v>
      </c>
      <c r="E1235" s="976"/>
      <c r="F1235" s="988" t="str">
        <f>VLOOKUP($B1235,DG!A:D,DG!$C$2,)</f>
        <v>Sứ chằng</v>
      </c>
      <c r="G1235" s="976" t="str">
        <f>VLOOKUP($B1235,DG!A:D,DG!$D$2,)</f>
        <v>cái</v>
      </c>
      <c r="H1235" s="1689">
        <f t="shared" si="248"/>
        <v>0</v>
      </c>
      <c r="I1235" s="1689">
        <f t="shared" si="248"/>
        <v>0</v>
      </c>
      <c r="J1235" s="1689">
        <f t="shared" si="248"/>
        <v>0</v>
      </c>
      <c r="K1235" s="1689">
        <f t="shared" si="248"/>
        <v>0</v>
      </c>
      <c r="L1235" s="1689">
        <f t="shared" si="248"/>
        <v>0</v>
      </c>
      <c r="M1235" s="1689">
        <f t="shared" si="248"/>
        <v>0</v>
      </c>
      <c r="N1235" s="1689">
        <f t="shared" si="248"/>
        <v>0</v>
      </c>
      <c r="O1235" s="1689"/>
      <c r="P1235" s="1689"/>
      <c r="Q1235" s="985"/>
      <c r="R1235" s="985"/>
      <c r="S1235" s="985"/>
      <c r="T1235" s="1858">
        <f t="shared" si="245"/>
        <v>0</v>
      </c>
    </row>
    <row r="1236" spans="1:20" ht="22.2" hidden="1" customHeight="1">
      <c r="A1236" s="1444">
        <f>COUNTIF($C$12:C1236,"x")</f>
        <v>41</v>
      </c>
      <c r="B1236" s="1451" t="s">
        <v>1578</v>
      </c>
      <c r="C1236" s="966" t="str">
        <f t="shared" si="246"/>
        <v xml:space="preserve"> </v>
      </c>
      <c r="D1236" s="1411">
        <v>16</v>
      </c>
      <c r="E1236" s="976"/>
      <c r="F1236" s="988" t="str">
        <f>VLOOKUP($B1236,DG!A:D,DG!$C$2,)</f>
        <v>Kẹp cáp 3 boulon</v>
      </c>
      <c r="G1236" s="976" t="str">
        <f>VLOOKUP($B1236,DG!A:D,DG!$D$2,)</f>
        <v>cái</v>
      </c>
      <c r="H1236" s="1689">
        <f t="shared" si="248"/>
        <v>0</v>
      </c>
      <c r="I1236" s="1689">
        <f t="shared" si="248"/>
        <v>0</v>
      </c>
      <c r="J1236" s="1689">
        <f t="shared" si="248"/>
        <v>0</v>
      </c>
      <c r="K1236" s="1689">
        <f t="shared" si="248"/>
        <v>0</v>
      </c>
      <c r="L1236" s="1689">
        <f t="shared" si="248"/>
        <v>0</v>
      </c>
      <c r="M1236" s="1689">
        <f t="shared" si="248"/>
        <v>0</v>
      </c>
      <c r="N1236" s="1689">
        <f t="shared" si="248"/>
        <v>0</v>
      </c>
      <c r="O1236" s="1689"/>
      <c r="P1236" s="1689"/>
      <c r="Q1236" s="985"/>
      <c r="R1236" s="985"/>
      <c r="S1236" s="985"/>
      <c r="T1236" s="1858">
        <f t="shared" si="245"/>
        <v>0</v>
      </c>
    </row>
    <row r="1237" spans="1:20" ht="22.2" hidden="1" customHeight="1">
      <c r="A1237" s="1444">
        <f>COUNTIF($C$12:C1237,"x")</f>
        <v>41</v>
      </c>
      <c r="B1237" s="1451" t="s">
        <v>1359</v>
      </c>
      <c r="C1237" s="966" t="str">
        <f t="shared" si="246"/>
        <v xml:space="preserve"> </v>
      </c>
      <c r="D1237" s="1411">
        <v>39</v>
      </c>
      <c r="E1237" s="976"/>
      <c r="F1237" s="988" t="str">
        <f>VLOOKUP($B1237,DG!A:D,DG!$C$2,)</f>
        <v>Cáp thép 5/8"</v>
      </c>
      <c r="G1237" s="976" t="str">
        <f>VLOOKUP($B1237,DG!A:D,DG!$D$2,)</f>
        <v>kg</v>
      </c>
      <c r="H1237" s="1689">
        <f t="shared" si="248"/>
        <v>0</v>
      </c>
      <c r="I1237" s="1689">
        <f t="shared" si="248"/>
        <v>0</v>
      </c>
      <c r="J1237" s="1689">
        <f t="shared" si="248"/>
        <v>0</v>
      </c>
      <c r="K1237" s="1689">
        <f t="shared" si="248"/>
        <v>0</v>
      </c>
      <c r="L1237" s="1689">
        <f t="shared" si="248"/>
        <v>0</v>
      </c>
      <c r="M1237" s="1689">
        <f t="shared" si="248"/>
        <v>0</v>
      </c>
      <c r="N1237" s="1689">
        <f t="shared" si="248"/>
        <v>0</v>
      </c>
      <c r="O1237" s="1689"/>
      <c r="P1237" s="1689"/>
      <c r="Q1237" s="985"/>
      <c r="R1237" s="985"/>
      <c r="S1237" s="985"/>
      <c r="T1237" s="1858">
        <f t="shared" si="245"/>
        <v>0</v>
      </c>
    </row>
    <row r="1238" spans="1:20" ht="22.2" hidden="1" customHeight="1">
      <c r="A1238" s="1444">
        <f>COUNTIF($C$12:C1238,"x")</f>
        <v>41</v>
      </c>
      <c r="B1238" s="1451" t="s">
        <v>2000</v>
      </c>
      <c r="C1238" s="966" t="str">
        <f t="shared" si="246"/>
        <v xml:space="preserve"> </v>
      </c>
      <c r="D1238" s="1411">
        <v>4</v>
      </c>
      <c r="E1238" s="976"/>
      <c r="F1238" s="988" t="str">
        <f>VLOOKUP($B1238,DG!A:D,DG!$C$2,)</f>
        <v>Yếm cáp dày 2mm</v>
      </c>
      <c r="G1238" s="976" t="str">
        <f>VLOOKUP($B1238,DG!A:D,DG!$D$2,)</f>
        <v>cái</v>
      </c>
      <c r="H1238" s="1689">
        <f t="shared" si="248"/>
        <v>0</v>
      </c>
      <c r="I1238" s="1689">
        <f t="shared" si="248"/>
        <v>0</v>
      </c>
      <c r="J1238" s="1689">
        <f t="shared" si="248"/>
        <v>0</v>
      </c>
      <c r="K1238" s="1689">
        <f t="shared" si="248"/>
        <v>0</v>
      </c>
      <c r="L1238" s="1689">
        <f t="shared" si="248"/>
        <v>0</v>
      </c>
      <c r="M1238" s="1689">
        <f t="shared" si="248"/>
        <v>0</v>
      </c>
      <c r="N1238" s="1689">
        <f t="shared" si="248"/>
        <v>0</v>
      </c>
      <c r="O1238" s="1689"/>
      <c r="P1238" s="1689"/>
      <c r="Q1238" s="985"/>
      <c r="R1238" s="985"/>
      <c r="S1238" s="985"/>
      <c r="T1238" s="1858">
        <f t="shared" si="245"/>
        <v>0</v>
      </c>
    </row>
    <row r="1239" spans="1:20" ht="22.2" hidden="1" customHeight="1">
      <c r="A1239" s="1444">
        <f>COUNTIF($C$12:C1239,"x")</f>
        <v>41</v>
      </c>
      <c r="B1239" s="1451" t="s">
        <v>2001</v>
      </c>
      <c r="C1239" s="966" t="str">
        <f t="shared" si="246"/>
        <v xml:space="preserve"> </v>
      </c>
      <c r="D1239" s="1411">
        <v>2</v>
      </c>
      <c r="E1239" s="976"/>
      <c r="F1239" s="988" t="str">
        <f>VLOOKUP($B1239,DG!A:D,DG!$C$2,)</f>
        <v>Máng che dây chằng dày 1,6mm</v>
      </c>
      <c r="G1239" s="976" t="str">
        <f>VLOOKUP($B1239,DG!A:D,DG!$D$2,)</f>
        <v>cái</v>
      </c>
      <c r="H1239" s="1689">
        <f t="shared" si="248"/>
        <v>0</v>
      </c>
      <c r="I1239" s="1689">
        <f t="shared" si="248"/>
        <v>0</v>
      </c>
      <c r="J1239" s="1689">
        <f t="shared" si="248"/>
        <v>0</v>
      </c>
      <c r="K1239" s="1689">
        <f t="shared" si="248"/>
        <v>0</v>
      </c>
      <c r="L1239" s="1689">
        <f t="shared" si="248"/>
        <v>0</v>
      </c>
      <c r="M1239" s="1689">
        <f t="shared" si="248"/>
        <v>0</v>
      </c>
      <c r="N1239" s="1689">
        <f t="shared" si="248"/>
        <v>0</v>
      </c>
      <c r="O1239" s="1689"/>
      <c r="P1239" s="1689"/>
      <c r="Q1239" s="985"/>
      <c r="R1239" s="985"/>
      <c r="S1239" s="985"/>
      <c r="T1239" s="1858">
        <f t="shared" si="245"/>
        <v>0</v>
      </c>
    </row>
    <row r="1240" spans="1:20" ht="22.2" hidden="1" customHeight="1">
      <c r="A1240" s="1444">
        <f>COUNTIF($C$12:C1240,"x")</f>
        <v>41</v>
      </c>
      <c r="B1240" s="1451" t="s">
        <v>1918</v>
      </c>
      <c r="C1240" s="966" t="str">
        <f t="shared" si="246"/>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5"/>
        <v>0</v>
      </c>
    </row>
    <row r="1241" spans="1:20" ht="22.2" hidden="1" customHeight="1">
      <c r="A1241" s="1444">
        <f>COUNTIF($C$12:C1241,"x")</f>
        <v>41</v>
      </c>
      <c r="B1241" s="1460" t="s">
        <v>356</v>
      </c>
      <c r="C1241" s="966" t="str">
        <f t="shared" si="246"/>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5"/>
        <v>0</v>
      </c>
    </row>
    <row r="1242" spans="1:20" ht="22.2" hidden="1" customHeight="1">
      <c r="A1242" s="1444">
        <f>COUNTIF($C$12:C1242,"x")</f>
        <v>41</v>
      </c>
      <c r="B1242" s="1448" t="s">
        <v>749</v>
      </c>
      <c r="C1242" s="966" t="str">
        <f t="shared" si="246"/>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2" hidden="1" customHeight="1">
      <c r="A1243" s="1444">
        <f>COUNTIF($C$12:C1243,"x")</f>
        <v>41</v>
      </c>
      <c r="B1243" s="1451" t="s">
        <v>1061</v>
      </c>
      <c r="C1243" s="966" t="str">
        <f t="shared" si="246"/>
        <v xml:space="preserve"> </v>
      </c>
      <c r="D1243" s="1411">
        <v>2</v>
      </c>
      <c r="E1243" s="976"/>
      <c r="F1243" s="988" t="str">
        <f>VLOOKUP($B1243,DG!A:D,DG!$C$2,)</f>
        <v>Boulon mắt 16x250+ 2 long đền vuông D18-50x50x3/Zn</v>
      </c>
      <c r="G1243" s="976" t="str">
        <f>VLOOKUP($B1243,DG!A:D,DG!$D$2,)</f>
        <v>bộ</v>
      </c>
      <c r="H1243" s="1689">
        <f t="shared" ref="H1243:N1247" si="249">H$1242*$D1243</f>
        <v>0</v>
      </c>
      <c r="I1243" s="1689">
        <f t="shared" si="249"/>
        <v>0</v>
      </c>
      <c r="J1243" s="1689">
        <f t="shared" si="249"/>
        <v>0</v>
      </c>
      <c r="K1243" s="1689">
        <f t="shared" si="249"/>
        <v>0</v>
      </c>
      <c r="L1243" s="1689">
        <f t="shared" si="249"/>
        <v>0</v>
      </c>
      <c r="M1243" s="1689">
        <f t="shared" si="249"/>
        <v>0</v>
      </c>
      <c r="N1243" s="1689">
        <f t="shared" si="249"/>
        <v>0</v>
      </c>
      <c r="O1243" s="1689"/>
      <c r="P1243" s="1689"/>
      <c r="Q1243" s="985"/>
      <c r="R1243" s="985"/>
      <c r="S1243" s="985"/>
      <c r="T1243" s="1858">
        <f t="shared" si="245"/>
        <v>0</v>
      </c>
    </row>
    <row r="1244" spans="1:20" ht="22.2" hidden="1" customHeight="1">
      <c r="A1244" s="1444">
        <f>COUNTIF($C$12:C1244,"x")</f>
        <v>41</v>
      </c>
      <c r="B1244" s="1451" t="s">
        <v>111</v>
      </c>
      <c r="C1244" s="966" t="str">
        <f t="shared" si="246"/>
        <v xml:space="preserve"> </v>
      </c>
      <c r="D1244" s="1411">
        <v>2</v>
      </c>
      <c r="E1244" s="976"/>
      <c r="F1244" s="988" t="str">
        <f>VLOOKUP($B1244,DG!A:D,DG!$C$2,)</f>
        <v>Sứ chằng</v>
      </c>
      <c r="G1244" s="976" t="str">
        <f>VLOOKUP($B1244,DG!A:D,DG!$D$2,)</f>
        <v>cái</v>
      </c>
      <c r="H1244" s="1689">
        <f t="shared" si="249"/>
        <v>0</v>
      </c>
      <c r="I1244" s="1689">
        <f t="shared" si="249"/>
        <v>0</v>
      </c>
      <c r="J1244" s="1689">
        <f t="shared" si="249"/>
        <v>0</v>
      </c>
      <c r="K1244" s="1689">
        <f t="shared" si="249"/>
        <v>0</v>
      </c>
      <c r="L1244" s="1689">
        <f t="shared" si="249"/>
        <v>0</v>
      </c>
      <c r="M1244" s="1689">
        <f t="shared" si="249"/>
        <v>0</v>
      </c>
      <c r="N1244" s="1689">
        <f t="shared" si="249"/>
        <v>0</v>
      </c>
      <c r="O1244" s="1689"/>
      <c r="P1244" s="1689"/>
      <c r="Q1244" s="985"/>
      <c r="R1244" s="985"/>
      <c r="S1244" s="985"/>
      <c r="T1244" s="1858">
        <f t="shared" si="245"/>
        <v>0</v>
      </c>
    </row>
    <row r="1245" spans="1:20" ht="22.2" hidden="1" customHeight="1">
      <c r="A1245" s="1444">
        <f>COUNTIF($C$12:C1245,"x")</f>
        <v>41</v>
      </c>
      <c r="B1245" s="1451" t="s">
        <v>1578</v>
      </c>
      <c r="C1245" s="966" t="str">
        <f t="shared" si="246"/>
        <v xml:space="preserve"> </v>
      </c>
      <c r="D1245" s="1411">
        <v>12</v>
      </c>
      <c r="E1245" s="976"/>
      <c r="F1245" s="988" t="str">
        <f>VLOOKUP($B1245,DG!A:D,DG!$C$2,)</f>
        <v>Kẹp cáp 3 boulon</v>
      </c>
      <c r="G1245" s="976" t="str">
        <f>VLOOKUP($B1245,DG!A:D,DG!$D$2,)</f>
        <v>cái</v>
      </c>
      <c r="H1245" s="1689">
        <f t="shared" si="249"/>
        <v>0</v>
      </c>
      <c r="I1245" s="1689">
        <f t="shared" si="249"/>
        <v>0</v>
      </c>
      <c r="J1245" s="1689">
        <f t="shared" si="249"/>
        <v>0</v>
      </c>
      <c r="K1245" s="1689">
        <f t="shared" si="249"/>
        <v>0</v>
      </c>
      <c r="L1245" s="1689">
        <f t="shared" si="249"/>
        <v>0</v>
      </c>
      <c r="M1245" s="1689">
        <f t="shared" si="249"/>
        <v>0</v>
      </c>
      <c r="N1245" s="1689">
        <f t="shared" si="249"/>
        <v>0</v>
      </c>
      <c r="O1245" s="1689"/>
      <c r="P1245" s="1689"/>
      <c r="Q1245" s="985"/>
      <c r="R1245" s="985"/>
      <c r="S1245" s="985"/>
      <c r="T1245" s="1858">
        <f t="shared" si="245"/>
        <v>0</v>
      </c>
    </row>
    <row r="1246" spans="1:20" ht="22.2" hidden="1" customHeight="1">
      <c r="A1246" s="1444">
        <f>COUNTIF($C$12:C1246,"x")</f>
        <v>41</v>
      </c>
      <c r="B1246" s="1451" t="s">
        <v>1359</v>
      </c>
      <c r="C1246" s="966" t="str">
        <f t="shared" si="246"/>
        <v xml:space="preserve"> </v>
      </c>
      <c r="D1246" s="1411">
        <v>12</v>
      </c>
      <c r="E1246" s="976"/>
      <c r="F1246" s="988" t="str">
        <f>VLOOKUP($B1246,DG!A:D,DG!$C$2,)</f>
        <v>Cáp thép 5/8"</v>
      </c>
      <c r="G1246" s="976" t="str">
        <f>VLOOKUP($B1246,DG!A:D,DG!$D$2,)</f>
        <v>kg</v>
      </c>
      <c r="H1246" s="1689">
        <f t="shared" si="249"/>
        <v>0</v>
      </c>
      <c r="I1246" s="1689">
        <f t="shared" si="249"/>
        <v>0</v>
      </c>
      <c r="J1246" s="1689">
        <f t="shared" si="249"/>
        <v>0</v>
      </c>
      <c r="K1246" s="1689">
        <f t="shared" si="249"/>
        <v>0</v>
      </c>
      <c r="L1246" s="1689">
        <f t="shared" si="249"/>
        <v>0</v>
      </c>
      <c r="M1246" s="1689">
        <f t="shared" si="249"/>
        <v>0</v>
      </c>
      <c r="N1246" s="1689">
        <f t="shared" si="249"/>
        <v>0</v>
      </c>
      <c r="O1246" s="1689"/>
      <c r="P1246" s="1689"/>
      <c r="Q1246" s="985"/>
      <c r="R1246" s="985"/>
      <c r="S1246" s="985"/>
      <c r="T1246" s="1858">
        <f t="shared" si="245"/>
        <v>0</v>
      </c>
    </row>
    <row r="1247" spans="1:20" ht="22.2" hidden="1" customHeight="1">
      <c r="A1247" s="1444">
        <f>COUNTIF($C$12:C1247,"x")</f>
        <v>41</v>
      </c>
      <c r="B1247" s="1451" t="s">
        <v>2000</v>
      </c>
      <c r="C1247" s="966" t="str">
        <f t="shared" si="246"/>
        <v xml:space="preserve"> </v>
      </c>
      <c r="D1247" s="1411">
        <v>2</v>
      </c>
      <c r="E1247" s="976"/>
      <c r="F1247" s="988" t="str">
        <f>VLOOKUP($B1247,DG!A:D,DG!$C$2,)</f>
        <v>Yếm cáp dày 2mm</v>
      </c>
      <c r="G1247" s="976" t="str">
        <f>VLOOKUP($B1247,DG!A:D,DG!$D$2,)</f>
        <v>cái</v>
      </c>
      <c r="H1247" s="1689">
        <f t="shared" si="249"/>
        <v>0</v>
      </c>
      <c r="I1247" s="1689">
        <f t="shared" si="249"/>
        <v>0</v>
      </c>
      <c r="J1247" s="1689">
        <f t="shared" si="249"/>
        <v>0</v>
      </c>
      <c r="K1247" s="1689">
        <f t="shared" si="249"/>
        <v>0</v>
      </c>
      <c r="L1247" s="1689">
        <f t="shared" si="249"/>
        <v>0</v>
      </c>
      <c r="M1247" s="1689">
        <f t="shared" si="249"/>
        <v>0</v>
      </c>
      <c r="N1247" s="1689">
        <f t="shared" si="249"/>
        <v>0</v>
      </c>
      <c r="O1247" s="1689"/>
      <c r="P1247" s="1689"/>
      <c r="Q1247" s="985"/>
      <c r="R1247" s="985"/>
      <c r="S1247" s="985"/>
      <c r="T1247" s="1858">
        <f t="shared" si="245"/>
        <v>0</v>
      </c>
    </row>
    <row r="1248" spans="1:20" ht="22.2" hidden="1" customHeight="1">
      <c r="A1248" s="1444">
        <f>COUNTIF($C$12:C1248,"x")</f>
        <v>41</v>
      </c>
      <c r="B1248" s="1451" t="s">
        <v>1918</v>
      </c>
      <c r="C1248" s="966" t="str">
        <f t="shared" si="246"/>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5"/>
        <v>0</v>
      </c>
    </row>
    <row r="1249" spans="1:20" ht="22.2" hidden="1" customHeight="1">
      <c r="A1249" s="1444">
        <f>COUNTIF($C$12:C1249,"x")</f>
        <v>41</v>
      </c>
      <c r="B1249" s="1460" t="s">
        <v>356</v>
      </c>
      <c r="C1249" s="966" t="str">
        <f t="shared" si="246"/>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5"/>
        <v>0</v>
      </c>
    </row>
    <row r="1250" spans="1:20" ht="22.2" hidden="1" customHeight="1">
      <c r="A1250" s="1444">
        <f>COUNTIF($C$12:C1250,"x")</f>
        <v>41</v>
      </c>
      <c r="B1250" s="1448" t="s">
        <v>748</v>
      </c>
      <c r="C1250" s="966" t="str">
        <f t="shared" si="246"/>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2" hidden="1" customHeight="1">
      <c r="A1251" s="1444">
        <f>COUNTIF($C$12:C1251,"x")</f>
        <v>41</v>
      </c>
      <c r="B1251" s="1451" t="s">
        <v>1061</v>
      </c>
      <c r="C1251" s="966" t="str">
        <f t="shared" si="246"/>
        <v xml:space="preserve"> </v>
      </c>
      <c r="D1251" s="1411">
        <v>4</v>
      </c>
      <c r="E1251" s="976"/>
      <c r="F1251" s="988" t="str">
        <f>VLOOKUP($B1251,DG!A:D,DG!$C$2,)</f>
        <v>Boulon mắt 16x250+ 2 long đền vuông D18-50x50x3/Zn</v>
      </c>
      <c r="G1251" s="976" t="str">
        <f>VLOOKUP($B1251,DG!A:D,DG!$D$2,)</f>
        <v>bộ</v>
      </c>
      <c r="H1251" s="1689">
        <f t="shared" ref="H1251:N1255" si="250">H$1250*$D1251</f>
        <v>0</v>
      </c>
      <c r="I1251" s="1689">
        <f t="shared" si="250"/>
        <v>0</v>
      </c>
      <c r="J1251" s="1689">
        <f t="shared" si="250"/>
        <v>0</v>
      </c>
      <c r="K1251" s="1689">
        <f t="shared" si="250"/>
        <v>0</v>
      </c>
      <c r="L1251" s="1689">
        <f t="shared" si="250"/>
        <v>0</v>
      </c>
      <c r="M1251" s="1689">
        <f t="shared" si="250"/>
        <v>0</v>
      </c>
      <c r="N1251" s="1689">
        <f t="shared" si="250"/>
        <v>0</v>
      </c>
      <c r="O1251" s="1689"/>
      <c r="P1251" s="1689"/>
      <c r="Q1251" s="985"/>
      <c r="R1251" s="985"/>
      <c r="S1251" s="985"/>
      <c r="T1251" s="1858">
        <f t="shared" si="245"/>
        <v>0</v>
      </c>
    </row>
    <row r="1252" spans="1:20" ht="22.2" hidden="1" customHeight="1">
      <c r="A1252" s="1444">
        <f>COUNTIF($C$12:C1252,"x")</f>
        <v>41</v>
      </c>
      <c r="B1252" s="1451" t="s">
        <v>111</v>
      </c>
      <c r="C1252" s="966" t="str">
        <f t="shared" si="246"/>
        <v xml:space="preserve"> </v>
      </c>
      <c r="D1252" s="1411">
        <v>4</v>
      </c>
      <c r="E1252" s="976"/>
      <c r="F1252" s="988" t="str">
        <f>VLOOKUP($B1252,DG!A:D,DG!$C$2,)</f>
        <v>Sứ chằng</v>
      </c>
      <c r="G1252" s="976" t="str">
        <f>VLOOKUP($B1252,DG!A:D,DG!$D$2,)</f>
        <v>cái</v>
      </c>
      <c r="H1252" s="1689">
        <f t="shared" si="250"/>
        <v>0</v>
      </c>
      <c r="I1252" s="1689">
        <f t="shared" si="250"/>
        <v>0</v>
      </c>
      <c r="J1252" s="1689">
        <f t="shared" si="250"/>
        <v>0</v>
      </c>
      <c r="K1252" s="1689">
        <f t="shared" si="250"/>
        <v>0</v>
      </c>
      <c r="L1252" s="1689">
        <f t="shared" si="250"/>
        <v>0</v>
      </c>
      <c r="M1252" s="1689">
        <f t="shared" si="250"/>
        <v>0</v>
      </c>
      <c r="N1252" s="1689">
        <f t="shared" si="250"/>
        <v>0</v>
      </c>
      <c r="O1252" s="1689"/>
      <c r="P1252" s="1689"/>
      <c r="Q1252" s="985"/>
      <c r="R1252" s="985"/>
      <c r="S1252" s="985"/>
      <c r="T1252" s="1858">
        <f t="shared" si="245"/>
        <v>0</v>
      </c>
    </row>
    <row r="1253" spans="1:20" ht="22.2" hidden="1" customHeight="1">
      <c r="A1253" s="1444">
        <f>COUNTIF($C$12:C1253,"x")</f>
        <v>41</v>
      </c>
      <c r="B1253" s="1451" t="s">
        <v>1578</v>
      </c>
      <c r="C1253" s="966" t="str">
        <f t="shared" si="246"/>
        <v xml:space="preserve"> </v>
      </c>
      <c r="D1253" s="1411">
        <v>24</v>
      </c>
      <c r="E1253" s="976"/>
      <c r="F1253" s="988" t="str">
        <f>VLOOKUP($B1253,DG!A:D,DG!$C$2,)</f>
        <v>Kẹp cáp 3 boulon</v>
      </c>
      <c r="G1253" s="976" t="str">
        <f>VLOOKUP($B1253,DG!A:D,DG!$D$2,)</f>
        <v>cái</v>
      </c>
      <c r="H1253" s="1689">
        <f t="shared" si="250"/>
        <v>0</v>
      </c>
      <c r="I1253" s="1689">
        <f t="shared" si="250"/>
        <v>0</v>
      </c>
      <c r="J1253" s="1689">
        <f t="shared" si="250"/>
        <v>0</v>
      </c>
      <c r="K1253" s="1689">
        <f t="shared" si="250"/>
        <v>0</v>
      </c>
      <c r="L1253" s="1689">
        <f t="shared" si="250"/>
        <v>0</v>
      </c>
      <c r="M1253" s="1689">
        <f t="shared" si="250"/>
        <v>0</v>
      </c>
      <c r="N1253" s="1689">
        <f t="shared" si="250"/>
        <v>0</v>
      </c>
      <c r="O1253" s="1689"/>
      <c r="P1253" s="1689"/>
      <c r="Q1253" s="985"/>
      <c r="R1253" s="985"/>
      <c r="S1253" s="985"/>
      <c r="T1253" s="1858">
        <f t="shared" si="245"/>
        <v>0</v>
      </c>
    </row>
    <row r="1254" spans="1:20" ht="22.2" hidden="1" customHeight="1">
      <c r="A1254" s="1444">
        <f>COUNTIF($C$12:C1254,"x")</f>
        <v>41</v>
      </c>
      <c r="B1254" s="1451" t="s">
        <v>1359</v>
      </c>
      <c r="C1254" s="966" t="str">
        <f t="shared" si="246"/>
        <v xml:space="preserve"> </v>
      </c>
      <c r="D1254" s="1411">
        <v>12</v>
      </c>
      <c r="E1254" s="976"/>
      <c r="F1254" s="988" t="str">
        <f>VLOOKUP($B1254,DG!A:D,DG!$C$2,)</f>
        <v>Cáp thép 5/8"</v>
      </c>
      <c r="G1254" s="976" t="str">
        <f>VLOOKUP($B1254,DG!A:D,DG!$D$2,)</f>
        <v>kg</v>
      </c>
      <c r="H1254" s="1689">
        <f t="shared" si="250"/>
        <v>0</v>
      </c>
      <c r="I1254" s="1689">
        <f t="shared" si="250"/>
        <v>0</v>
      </c>
      <c r="J1254" s="1689">
        <f t="shared" si="250"/>
        <v>0</v>
      </c>
      <c r="K1254" s="1689">
        <f t="shared" si="250"/>
        <v>0</v>
      </c>
      <c r="L1254" s="1689">
        <f t="shared" si="250"/>
        <v>0</v>
      </c>
      <c r="M1254" s="1689">
        <f t="shared" si="250"/>
        <v>0</v>
      </c>
      <c r="N1254" s="1689">
        <f t="shared" si="250"/>
        <v>0</v>
      </c>
      <c r="O1254" s="1689"/>
      <c r="P1254" s="1689"/>
      <c r="Q1254" s="985"/>
      <c r="R1254" s="985"/>
      <c r="S1254" s="985"/>
      <c r="T1254" s="1858">
        <f t="shared" si="245"/>
        <v>0</v>
      </c>
    </row>
    <row r="1255" spans="1:20" ht="22.2" hidden="1" customHeight="1">
      <c r="A1255" s="1444">
        <f>COUNTIF($C$12:C1255,"x")</f>
        <v>41</v>
      </c>
      <c r="B1255" s="1451" t="s">
        <v>2000</v>
      </c>
      <c r="C1255" s="966" t="str">
        <f t="shared" si="246"/>
        <v xml:space="preserve"> </v>
      </c>
      <c r="D1255" s="1411">
        <v>4</v>
      </c>
      <c r="E1255" s="976"/>
      <c r="F1255" s="988" t="str">
        <f>VLOOKUP($B1255,DG!A:D,DG!$C$2,)</f>
        <v>Yếm cáp dày 2mm</v>
      </c>
      <c r="G1255" s="976" t="str">
        <f>VLOOKUP($B1255,DG!A:D,DG!$D$2,)</f>
        <v>cái</v>
      </c>
      <c r="H1255" s="1689">
        <f t="shared" si="250"/>
        <v>0</v>
      </c>
      <c r="I1255" s="1689">
        <f t="shared" si="250"/>
        <v>0</v>
      </c>
      <c r="J1255" s="1689">
        <f t="shared" si="250"/>
        <v>0</v>
      </c>
      <c r="K1255" s="1689">
        <f t="shared" si="250"/>
        <v>0</v>
      </c>
      <c r="L1255" s="1689">
        <f t="shared" si="250"/>
        <v>0</v>
      </c>
      <c r="M1255" s="1689">
        <f t="shared" si="250"/>
        <v>0</v>
      </c>
      <c r="N1255" s="1689">
        <f t="shared" si="250"/>
        <v>0</v>
      </c>
      <c r="O1255" s="1689"/>
      <c r="P1255" s="1689"/>
      <c r="Q1255" s="985"/>
      <c r="R1255" s="985"/>
      <c r="S1255" s="985"/>
      <c r="T1255" s="1858">
        <f t="shared" si="245"/>
        <v>0</v>
      </c>
    </row>
    <row r="1256" spans="1:20" ht="22.2" hidden="1" customHeight="1">
      <c r="A1256" s="1444">
        <f>COUNTIF($C$12:C1256,"x")</f>
        <v>41</v>
      </c>
      <c r="B1256" s="1451" t="s">
        <v>1918</v>
      </c>
      <c r="C1256" s="966" t="str">
        <f t="shared" si="246"/>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5"/>
        <v>0</v>
      </c>
    </row>
    <row r="1257" spans="1:20" ht="22.2" hidden="1" customHeight="1">
      <c r="A1257" s="1444">
        <f>COUNTIF($C$12:C1257,"x")</f>
        <v>41</v>
      </c>
      <c r="B1257" s="1460" t="s">
        <v>356</v>
      </c>
      <c r="C1257" s="966" t="str">
        <f t="shared" si="246"/>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5"/>
        <v>0</v>
      </c>
    </row>
    <row r="1258" spans="1:20" ht="22.2" hidden="1" customHeight="1">
      <c r="A1258" s="1444">
        <f>COUNTIF($C$12:C1258,"x")</f>
        <v>41</v>
      </c>
      <c r="B1258" s="1448" t="s">
        <v>345</v>
      </c>
      <c r="C1258" s="966" t="str">
        <f t="shared" si="246"/>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2" hidden="1" customHeight="1">
      <c r="A1259" s="1444">
        <f>COUNTIF($C$12:C1259,"x")</f>
        <v>41</v>
      </c>
      <c r="B1259" s="1451" t="s">
        <v>669</v>
      </c>
      <c r="C1259" s="966" t="str">
        <f t="shared" si="246"/>
        <v xml:space="preserve"> </v>
      </c>
      <c r="D1259" s="1411">
        <v>1</v>
      </c>
      <c r="E1259" s="976"/>
      <c r="F1259" s="988" t="str">
        <f>VLOOKUP($B1259,DG!A:D,DG!$C$2,)&amp;"-Fe8x100 nhuùng keõm"</f>
        <v>Cổ dê Ø 195 nẹp trụ-Fe8x100 nhuùng keõm</v>
      </c>
      <c r="G1259" s="976" t="str">
        <f>VLOOKUP($B1259,DG!A:D,DG!$D$2,)</f>
        <v>bộ</v>
      </c>
      <c r="H1259" s="1689">
        <f t="shared" ref="H1259:N1267" si="251">H$1258*$D1259</f>
        <v>0</v>
      </c>
      <c r="I1259" s="1689">
        <f t="shared" si="251"/>
        <v>0</v>
      </c>
      <c r="J1259" s="1689">
        <f t="shared" si="251"/>
        <v>0</v>
      </c>
      <c r="K1259" s="1689">
        <f t="shared" si="251"/>
        <v>0</v>
      </c>
      <c r="L1259" s="1689">
        <f t="shared" si="251"/>
        <v>0</v>
      </c>
      <c r="M1259" s="1689">
        <f t="shared" si="251"/>
        <v>0</v>
      </c>
      <c r="N1259" s="1689">
        <f t="shared" si="251"/>
        <v>0</v>
      </c>
      <c r="O1259" s="1689"/>
      <c r="P1259" s="1689"/>
      <c r="Q1259" s="985"/>
      <c r="R1259" s="985"/>
      <c r="S1259" s="985"/>
      <c r="T1259" s="1858">
        <f t="shared" si="245"/>
        <v>0</v>
      </c>
    </row>
    <row r="1260" spans="1:20" ht="22.2" hidden="1" customHeight="1">
      <c r="A1260" s="1444">
        <f>COUNTIF($C$12:C1260,"x")</f>
        <v>41</v>
      </c>
      <c r="B1260" s="1451" t="s">
        <v>111</v>
      </c>
      <c r="C1260" s="966" t="str">
        <f t="shared" si="246"/>
        <v xml:space="preserve"> </v>
      </c>
      <c r="D1260" s="1411">
        <v>1</v>
      </c>
      <c r="E1260" s="976"/>
      <c r="F1260" s="988" t="str">
        <f>VLOOKUP($B1260,DG!A:D,DG!$C$2,)</f>
        <v>Sứ chằng</v>
      </c>
      <c r="G1260" s="976" t="str">
        <f>VLOOKUP($B1260,DG!A:D,DG!$D$2,)</f>
        <v>cái</v>
      </c>
      <c r="H1260" s="1689">
        <f t="shared" si="251"/>
        <v>0</v>
      </c>
      <c r="I1260" s="1689">
        <f t="shared" si="251"/>
        <v>0</v>
      </c>
      <c r="J1260" s="1689">
        <f t="shared" si="251"/>
        <v>0</v>
      </c>
      <c r="K1260" s="1689">
        <f t="shared" si="251"/>
        <v>0</v>
      </c>
      <c r="L1260" s="1689">
        <f t="shared" si="251"/>
        <v>0</v>
      </c>
      <c r="M1260" s="1689">
        <f t="shared" si="251"/>
        <v>0</v>
      </c>
      <c r="N1260" s="1689">
        <f t="shared" si="251"/>
        <v>0</v>
      </c>
      <c r="O1260" s="1689"/>
      <c r="P1260" s="1689"/>
      <c r="Q1260" s="985"/>
      <c r="R1260" s="985"/>
      <c r="S1260" s="985"/>
      <c r="T1260" s="1858">
        <f t="shared" si="245"/>
        <v>0</v>
      </c>
    </row>
    <row r="1261" spans="1:20" ht="22.2" hidden="1" customHeight="1">
      <c r="A1261" s="1444">
        <f>COUNTIF($C$12:C1261,"x")</f>
        <v>41</v>
      </c>
      <c r="B1261" s="1451" t="s">
        <v>1578</v>
      </c>
      <c r="C1261" s="966" t="str">
        <f t="shared" si="246"/>
        <v xml:space="preserve"> </v>
      </c>
      <c r="D1261" s="1411">
        <v>8</v>
      </c>
      <c r="E1261" s="976"/>
      <c r="F1261" s="988" t="str">
        <f>VLOOKUP($B1261,DG!A:D,DG!$C$2,)</f>
        <v>Kẹp cáp 3 boulon</v>
      </c>
      <c r="G1261" s="976" t="str">
        <f>VLOOKUP($B1261,DG!A:D,DG!$D$2,)</f>
        <v>cái</v>
      </c>
      <c r="H1261" s="1689">
        <f t="shared" si="251"/>
        <v>0</v>
      </c>
      <c r="I1261" s="1689">
        <f t="shared" si="251"/>
        <v>0</v>
      </c>
      <c r="J1261" s="1689">
        <f t="shared" si="251"/>
        <v>0</v>
      </c>
      <c r="K1261" s="1689">
        <f t="shared" si="251"/>
        <v>0</v>
      </c>
      <c r="L1261" s="1689">
        <f t="shared" si="251"/>
        <v>0</v>
      </c>
      <c r="M1261" s="1689">
        <f t="shared" si="251"/>
        <v>0</v>
      </c>
      <c r="N1261" s="1689">
        <f t="shared" si="251"/>
        <v>0</v>
      </c>
      <c r="O1261" s="1689"/>
      <c r="P1261" s="1689"/>
      <c r="Q1261" s="985"/>
      <c r="R1261" s="985"/>
      <c r="S1261" s="985"/>
      <c r="T1261" s="1858">
        <f t="shared" si="245"/>
        <v>0</v>
      </c>
    </row>
    <row r="1262" spans="1:20" ht="22.2" hidden="1" customHeight="1">
      <c r="A1262" s="1444">
        <f>COUNTIF($C$12:C1262,"x")</f>
        <v>41</v>
      </c>
      <c r="B1262" s="1466" t="s">
        <v>1049</v>
      </c>
      <c r="C1262" s="966" t="str">
        <f t="shared" si="246"/>
        <v xml:space="preserve"> </v>
      </c>
      <c r="D1262" s="1411">
        <v>15</v>
      </c>
      <c r="E1262" s="976"/>
      <c r="F1262" s="988" t="str">
        <f>VLOOKUP($B1262,DG!A:D,DG!$C$2,)</f>
        <v>Kẹp hotline 4/0</v>
      </c>
      <c r="G1262" s="976" t="str">
        <f>VLOOKUP($B1262,DG!A:D,DG!$D$2,)</f>
        <v>cái</v>
      </c>
      <c r="H1262" s="1689">
        <f t="shared" si="251"/>
        <v>0</v>
      </c>
      <c r="I1262" s="1689">
        <f t="shared" si="251"/>
        <v>0</v>
      </c>
      <c r="J1262" s="1689">
        <f t="shared" si="251"/>
        <v>0</v>
      </c>
      <c r="K1262" s="1689">
        <f t="shared" si="251"/>
        <v>0</v>
      </c>
      <c r="L1262" s="1689">
        <f t="shared" si="251"/>
        <v>0</v>
      </c>
      <c r="M1262" s="1689">
        <f t="shared" si="251"/>
        <v>0</v>
      </c>
      <c r="N1262" s="1689">
        <f t="shared" si="251"/>
        <v>0</v>
      </c>
      <c r="O1262" s="1689"/>
      <c r="P1262" s="1689"/>
      <c r="Q1262" s="985"/>
      <c r="R1262" s="985"/>
      <c r="S1262" s="985"/>
      <c r="T1262" s="1858">
        <f t="shared" si="245"/>
        <v>0</v>
      </c>
    </row>
    <row r="1263" spans="1:20" ht="22.2" hidden="1" customHeight="1">
      <c r="A1263" s="1444">
        <f>COUNTIF($C$12:C1263,"x")</f>
        <v>41</v>
      </c>
      <c r="B1263" s="1451" t="s">
        <v>279</v>
      </c>
      <c r="C1263" s="966" t="str">
        <f t="shared" si="246"/>
        <v xml:space="preserve"> </v>
      </c>
      <c r="D1263" s="1411">
        <v>2</v>
      </c>
      <c r="E1263" s="976"/>
      <c r="F1263" s="988" t="str">
        <f>VLOOKUP($B1263,DG!A:D,DG!$C$2,)</f>
        <v>Sắt dẹt 60 x 6</v>
      </c>
      <c r="G1263" s="976" t="str">
        <f>VLOOKUP($B1263,DG!A:D,DG!$D$2,)</f>
        <v>kg</v>
      </c>
      <c r="H1263" s="1689">
        <f t="shared" si="251"/>
        <v>0</v>
      </c>
      <c r="I1263" s="1689">
        <f t="shared" si="251"/>
        <v>0</v>
      </c>
      <c r="J1263" s="1689">
        <f t="shared" si="251"/>
        <v>0</v>
      </c>
      <c r="K1263" s="1689">
        <f t="shared" si="251"/>
        <v>0</v>
      </c>
      <c r="L1263" s="1689">
        <f t="shared" si="251"/>
        <v>0</v>
      </c>
      <c r="M1263" s="1689">
        <f t="shared" si="251"/>
        <v>0</v>
      </c>
      <c r="N1263" s="1689">
        <f t="shared" si="251"/>
        <v>0</v>
      </c>
      <c r="O1263" s="1689"/>
      <c r="P1263" s="1689"/>
      <c r="Q1263" s="985"/>
      <c r="R1263" s="985"/>
      <c r="S1263" s="985"/>
      <c r="T1263" s="1858">
        <f t="shared" si="245"/>
        <v>0</v>
      </c>
    </row>
    <row r="1264" spans="1:20" ht="22.2" hidden="1" customHeight="1">
      <c r="A1264" s="1444">
        <f>COUNTIF($C$12:C1264,"x")</f>
        <v>41</v>
      </c>
      <c r="B1264" s="1451" t="s">
        <v>1371</v>
      </c>
      <c r="C1264" s="966" t="str">
        <f t="shared" si="246"/>
        <v xml:space="preserve"> </v>
      </c>
      <c r="D1264" s="1411">
        <v>1</v>
      </c>
      <c r="E1264" s="976"/>
      <c r="F1264" s="988" t="str">
        <f>VLOOKUP($B1264,DG!A:D,DG!$C$2,)</f>
        <v xml:space="preserve">Móc treo chữ U </v>
      </c>
      <c r="G1264" s="976" t="str">
        <f>VLOOKUP($B1264,DG!A:D,DG!$D$2,)</f>
        <v>cái</v>
      </c>
      <c r="H1264" s="1689">
        <f t="shared" si="251"/>
        <v>0</v>
      </c>
      <c r="I1264" s="1689">
        <f t="shared" si="251"/>
        <v>0</v>
      </c>
      <c r="J1264" s="1689">
        <f t="shared" si="251"/>
        <v>0</v>
      </c>
      <c r="K1264" s="1689">
        <f t="shared" si="251"/>
        <v>0</v>
      </c>
      <c r="L1264" s="1689">
        <f t="shared" si="251"/>
        <v>0</v>
      </c>
      <c r="M1264" s="1689">
        <f t="shared" si="251"/>
        <v>0</v>
      </c>
      <c r="N1264" s="1689">
        <f t="shared" si="251"/>
        <v>0</v>
      </c>
      <c r="O1264" s="1689"/>
      <c r="P1264" s="1689"/>
      <c r="Q1264" s="985"/>
      <c r="R1264" s="985"/>
      <c r="S1264" s="985"/>
      <c r="T1264" s="1858">
        <f t="shared" si="245"/>
        <v>0</v>
      </c>
    </row>
    <row r="1265" spans="1:20" ht="22.2" hidden="1" customHeight="1">
      <c r="A1265" s="1444">
        <f>COUNTIF($C$12:C1265,"x")</f>
        <v>41</v>
      </c>
      <c r="B1265" s="1467" t="s">
        <v>1891</v>
      </c>
      <c r="C1265" s="966" t="str">
        <f t="shared" si="246"/>
        <v xml:space="preserve"> </v>
      </c>
      <c r="D1265" s="1411">
        <v>2</v>
      </c>
      <c r="E1265" s="976"/>
      <c r="F1265" s="988" t="str">
        <f>VLOOKUP($B1265,DG!A:D,DG!$C$2,)</f>
        <v>Boulon 16x100VRS+ 4 long đền vuông D18-50x50x3/Zn</v>
      </c>
      <c r="G1265" s="976" t="str">
        <f>VLOOKUP($B1265,DG!A:D,DG!$D$2,)</f>
        <v>bộ</v>
      </c>
      <c r="H1265" s="1689">
        <f t="shared" si="251"/>
        <v>0</v>
      </c>
      <c r="I1265" s="1689">
        <f t="shared" si="251"/>
        <v>0</v>
      </c>
      <c r="J1265" s="1689">
        <f t="shared" si="251"/>
        <v>0</v>
      </c>
      <c r="K1265" s="1689">
        <f t="shared" si="251"/>
        <v>0</v>
      </c>
      <c r="L1265" s="1689">
        <f t="shared" si="251"/>
        <v>0</v>
      </c>
      <c r="M1265" s="1689">
        <f t="shared" si="251"/>
        <v>0</v>
      </c>
      <c r="N1265" s="1689">
        <f t="shared" si="251"/>
        <v>0</v>
      </c>
      <c r="O1265" s="1689"/>
      <c r="P1265" s="1689"/>
      <c r="Q1265" s="985"/>
      <c r="R1265" s="985"/>
      <c r="S1265" s="985"/>
      <c r="T1265" s="1858">
        <f t="shared" si="245"/>
        <v>0</v>
      </c>
    </row>
    <row r="1266" spans="1:20" ht="22.2" hidden="1" customHeight="1">
      <c r="A1266" s="1444">
        <f>COUNTIF($C$12:C1266,"x")</f>
        <v>41</v>
      </c>
      <c r="B1266" s="1451" t="s">
        <v>2000</v>
      </c>
      <c r="C1266" s="966" t="str">
        <f t="shared" si="246"/>
        <v xml:space="preserve"> </v>
      </c>
      <c r="D1266" s="1411">
        <v>2</v>
      </c>
      <c r="E1266" s="976"/>
      <c r="F1266" s="988" t="str">
        <f>VLOOKUP($B1266,DG!A:D,DG!$C$2,)</f>
        <v>Yếm cáp dày 2mm</v>
      </c>
      <c r="G1266" s="976" t="str">
        <f>VLOOKUP($B1266,DG!A:D,DG!$D$2,)</f>
        <v>cái</v>
      </c>
      <c r="H1266" s="1689">
        <f t="shared" si="251"/>
        <v>0</v>
      </c>
      <c r="I1266" s="1689">
        <f t="shared" si="251"/>
        <v>0</v>
      </c>
      <c r="J1266" s="1689">
        <f t="shared" si="251"/>
        <v>0</v>
      </c>
      <c r="K1266" s="1689">
        <f t="shared" si="251"/>
        <v>0</v>
      </c>
      <c r="L1266" s="1689">
        <f t="shared" si="251"/>
        <v>0</v>
      </c>
      <c r="M1266" s="1689">
        <f t="shared" si="251"/>
        <v>0</v>
      </c>
      <c r="N1266" s="1689">
        <f t="shared" si="251"/>
        <v>0</v>
      </c>
      <c r="O1266" s="1689"/>
      <c r="P1266" s="1689"/>
      <c r="Q1266" s="985"/>
      <c r="R1266" s="985"/>
      <c r="S1266" s="985"/>
      <c r="T1266" s="1858">
        <f t="shared" si="245"/>
        <v>0</v>
      </c>
    </row>
    <row r="1267" spans="1:20" ht="22.2" hidden="1" customHeight="1">
      <c r="A1267" s="1444">
        <f>COUNTIF($C$12:C1267,"x")</f>
        <v>41</v>
      </c>
      <c r="B1267" s="1451" t="s">
        <v>2001</v>
      </c>
      <c r="C1267" s="966" t="str">
        <f t="shared" si="246"/>
        <v xml:space="preserve"> </v>
      </c>
      <c r="D1267" s="1411">
        <v>1</v>
      </c>
      <c r="E1267" s="976"/>
      <c r="F1267" s="988" t="str">
        <f>VLOOKUP($B1267,DG!A:D,DG!$C$2,)</f>
        <v>Máng che dây chằng dày 1,6mm</v>
      </c>
      <c r="G1267" s="976" t="str">
        <f>VLOOKUP($B1267,DG!A:D,DG!$D$2,)</f>
        <v>cái</v>
      </c>
      <c r="H1267" s="1689">
        <f t="shared" si="251"/>
        <v>0</v>
      </c>
      <c r="I1267" s="1689">
        <f t="shared" si="251"/>
        <v>0</v>
      </c>
      <c r="J1267" s="1689">
        <f t="shared" si="251"/>
        <v>0</v>
      </c>
      <c r="K1267" s="1689">
        <f t="shared" si="251"/>
        <v>0</v>
      </c>
      <c r="L1267" s="1689">
        <f t="shared" si="251"/>
        <v>0</v>
      </c>
      <c r="M1267" s="1689">
        <f t="shared" si="251"/>
        <v>0</v>
      </c>
      <c r="N1267" s="1689">
        <f t="shared" si="251"/>
        <v>0</v>
      </c>
      <c r="O1267" s="1689"/>
      <c r="P1267" s="1689"/>
      <c r="Q1267" s="985"/>
      <c r="R1267" s="985"/>
      <c r="S1267" s="985"/>
      <c r="T1267" s="1858">
        <f t="shared" si="245"/>
        <v>0</v>
      </c>
    </row>
    <row r="1268" spans="1:20" ht="22.2" hidden="1" customHeight="1">
      <c r="A1268" s="1444">
        <f>COUNTIF($C$12:C1268,"x")</f>
        <v>41</v>
      </c>
      <c r="B1268" s="1451" t="s">
        <v>1918</v>
      </c>
      <c r="C1268" s="966" t="str">
        <f t="shared" si="246"/>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5"/>
        <v>0</v>
      </c>
    </row>
    <row r="1269" spans="1:20" ht="22.2" hidden="1" customHeight="1">
      <c r="A1269" s="1444">
        <f>COUNTIF($C$12:C1269,"x")</f>
        <v>41</v>
      </c>
      <c r="B1269" s="1451" t="s">
        <v>681</v>
      </c>
      <c r="C1269" s="966" t="str">
        <f t="shared" si="246"/>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5"/>
        <v>0</v>
      </c>
    </row>
    <row r="1270" spans="1:20" ht="22.2" hidden="1" customHeight="1">
      <c r="A1270" s="1444">
        <f>COUNTIF($C$12:C1270,"x")</f>
        <v>41</v>
      </c>
      <c r="B1270" s="1460" t="s">
        <v>356</v>
      </c>
      <c r="C1270" s="966" t="str">
        <f t="shared" si="246"/>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5"/>
        <v>0</v>
      </c>
    </row>
    <row r="1271" spans="1:20" ht="22.2" hidden="1" customHeight="1">
      <c r="A1271" s="1444">
        <f>COUNTIF($C$12:C1271,"x")</f>
        <v>41</v>
      </c>
      <c r="B1271" s="1448" t="s">
        <v>1084</v>
      </c>
      <c r="C1271" s="966" t="str">
        <f t="shared" si="246"/>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2" hidden="1" customHeight="1">
      <c r="A1272" s="1444">
        <f>COUNTIF($C$12:C1272,"x")</f>
        <v>41</v>
      </c>
      <c r="B1272" s="1451" t="s">
        <v>669</v>
      </c>
      <c r="C1272" s="966" t="str">
        <f t="shared" si="246"/>
        <v xml:space="preserve"> </v>
      </c>
      <c r="D1272" s="1411">
        <v>1</v>
      </c>
      <c r="E1272" s="976"/>
      <c r="F1272" s="988" t="str">
        <f>VLOOKUP($B1272,DG!A:D,DG!$C$2,)&amp;"-Fe8x100 nhuùng keõm"</f>
        <v>Cổ dê Ø 195 nẹp trụ-Fe8x100 nhuùng keõm</v>
      </c>
      <c r="G1272" s="976" t="str">
        <f>VLOOKUP($B1272,DG!A:D,DG!$D$2,)</f>
        <v>bộ</v>
      </c>
      <c r="H1272" s="1689">
        <f t="shared" ref="H1272:N1281" si="252">H$1271*$D1272</f>
        <v>0</v>
      </c>
      <c r="I1272" s="1689">
        <f t="shared" si="252"/>
        <v>0</v>
      </c>
      <c r="J1272" s="1689">
        <f t="shared" si="252"/>
        <v>0</v>
      </c>
      <c r="K1272" s="1689">
        <f t="shared" si="252"/>
        <v>0</v>
      </c>
      <c r="L1272" s="1689">
        <f t="shared" si="252"/>
        <v>0</v>
      </c>
      <c r="M1272" s="1689">
        <f t="shared" si="252"/>
        <v>0</v>
      </c>
      <c r="N1272" s="1689">
        <f t="shared" si="252"/>
        <v>0</v>
      </c>
      <c r="O1272" s="1689"/>
      <c r="P1272" s="1689"/>
      <c r="Q1272" s="985"/>
      <c r="R1272" s="985"/>
      <c r="S1272" s="985"/>
      <c r="T1272" s="1858">
        <f t="shared" si="245"/>
        <v>0</v>
      </c>
    </row>
    <row r="1273" spans="1:20" ht="22.2" hidden="1" customHeight="1">
      <c r="A1273" s="1444">
        <f>COUNTIF($C$12:C1273,"x")</f>
        <v>41</v>
      </c>
      <c r="B1273" s="1451" t="s">
        <v>111</v>
      </c>
      <c r="C1273" s="966" t="str">
        <f t="shared" si="246"/>
        <v xml:space="preserve"> </v>
      </c>
      <c r="D1273" s="1411">
        <v>1</v>
      </c>
      <c r="E1273" s="976"/>
      <c r="F1273" s="988" t="str">
        <f>VLOOKUP($B1273,DG!A:D,DG!$C$2,)</f>
        <v>Sứ chằng</v>
      </c>
      <c r="G1273" s="976" t="str">
        <f>VLOOKUP($B1273,DG!A:D,DG!$D$2,)</f>
        <v>cái</v>
      </c>
      <c r="H1273" s="1689">
        <f t="shared" si="252"/>
        <v>0</v>
      </c>
      <c r="I1273" s="1689">
        <f t="shared" si="252"/>
        <v>0</v>
      </c>
      <c r="J1273" s="1689">
        <f t="shared" si="252"/>
        <v>0</v>
      </c>
      <c r="K1273" s="1689">
        <f t="shared" si="252"/>
        <v>0</v>
      </c>
      <c r="L1273" s="1689">
        <f t="shared" si="252"/>
        <v>0</v>
      </c>
      <c r="M1273" s="1689">
        <f t="shared" si="252"/>
        <v>0</v>
      </c>
      <c r="N1273" s="1689">
        <f t="shared" si="252"/>
        <v>0</v>
      </c>
      <c r="O1273" s="1689"/>
      <c r="P1273" s="1689"/>
      <c r="Q1273" s="985"/>
      <c r="R1273" s="985"/>
      <c r="S1273" s="985"/>
      <c r="T1273" s="1858">
        <f t="shared" si="245"/>
        <v>0</v>
      </c>
    </row>
    <row r="1274" spans="1:20" ht="22.2" hidden="1" customHeight="1">
      <c r="A1274" s="1444">
        <f>COUNTIF($C$12:C1274,"x")</f>
        <v>41</v>
      </c>
      <c r="B1274" s="1451" t="s">
        <v>1578</v>
      </c>
      <c r="C1274" s="966" t="str">
        <f t="shared" si="246"/>
        <v xml:space="preserve"> </v>
      </c>
      <c r="D1274" s="1411">
        <v>8</v>
      </c>
      <c r="E1274" s="976"/>
      <c r="F1274" s="988" t="str">
        <f>VLOOKUP($B1274,DG!A:D,DG!$C$2,)</f>
        <v>Kẹp cáp 3 boulon</v>
      </c>
      <c r="G1274" s="976" t="str">
        <f>VLOOKUP($B1274,DG!A:D,DG!$D$2,)</f>
        <v>cái</v>
      </c>
      <c r="H1274" s="1689">
        <f t="shared" si="252"/>
        <v>0</v>
      </c>
      <c r="I1274" s="1689">
        <f t="shared" si="252"/>
        <v>0</v>
      </c>
      <c r="J1274" s="1689">
        <f t="shared" si="252"/>
        <v>0</v>
      </c>
      <c r="K1274" s="1689">
        <f t="shared" si="252"/>
        <v>0</v>
      </c>
      <c r="L1274" s="1689">
        <f t="shared" si="252"/>
        <v>0</v>
      </c>
      <c r="M1274" s="1689">
        <f t="shared" si="252"/>
        <v>0</v>
      </c>
      <c r="N1274" s="1689">
        <f t="shared" si="252"/>
        <v>0</v>
      </c>
      <c r="O1274" s="1689"/>
      <c r="P1274" s="1689"/>
      <c r="Q1274" s="985"/>
      <c r="R1274" s="985"/>
      <c r="S1274" s="985"/>
      <c r="T1274" s="1858">
        <f t="shared" si="245"/>
        <v>0</v>
      </c>
    </row>
    <row r="1275" spans="1:20" ht="22.2" hidden="1" customHeight="1">
      <c r="A1275" s="1444">
        <f>COUNTIF($C$12:C1275,"x")</f>
        <v>41</v>
      </c>
      <c r="B1275" s="1466" t="s">
        <v>1049</v>
      </c>
      <c r="C1275" s="966" t="str">
        <f t="shared" si="246"/>
        <v xml:space="preserve"> </v>
      </c>
      <c r="D1275" s="1411">
        <v>11</v>
      </c>
      <c r="E1275" s="976"/>
      <c r="F1275" s="988" t="str">
        <f>VLOOKUP($B1275,DG!A:D,DG!$C$2,)</f>
        <v>Kẹp hotline 4/0</v>
      </c>
      <c r="G1275" s="976" t="str">
        <f>VLOOKUP($B1275,DG!A:D,DG!$D$2,)</f>
        <v>cái</v>
      </c>
      <c r="H1275" s="1689">
        <f t="shared" si="252"/>
        <v>0</v>
      </c>
      <c r="I1275" s="1689">
        <f t="shared" si="252"/>
        <v>0</v>
      </c>
      <c r="J1275" s="1689">
        <f t="shared" si="252"/>
        <v>0</v>
      </c>
      <c r="K1275" s="1689">
        <f t="shared" si="252"/>
        <v>0</v>
      </c>
      <c r="L1275" s="1689">
        <f t="shared" si="252"/>
        <v>0</v>
      </c>
      <c r="M1275" s="1689">
        <f t="shared" si="252"/>
        <v>0</v>
      </c>
      <c r="N1275" s="1689">
        <f t="shared" si="252"/>
        <v>0</v>
      </c>
      <c r="O1275" s="1689"/>
      <c r="P1275" s="1689"/>
      <c r="Q1275" s="985"/>
      <c r="R1275" s="985"/>
      <c r="S1275" s="985"/>
      <c r="T1275" s="1858">
        <f t="shared" si="245"/>
        <v>0</v>
      </c>
    </row>
    <row r="1276" spans="1:20" ht="22.2" hidden="1" customHeight="1">
      <c r="A1276" s="1444">
        <f>COUNTIF($C$12:C1276,"x")</f>
        <v>41</v>
      </c>
      <c r="B1276" s="1451" t="s">
        <v>607</v>
      </c>
      <c r="C1276" s="966" t="str">
        <f t="shared" si="246"/>
        <v xml:space="preserve"> </v>
      </c>
      <c r="D1276" s="1411">
        <v>1</v>
      </c>
      <c r="E1276" s="976"/>
      <c r="F1276" s="988" t="str">
        <f>VLOOKUP($B1276,DG!A:D,DG!$C$2,)</f>
        <v>Bộ chống chằng hẹp Ø60/50x1500+2BL12x40+BL16x250/80</v>
      </c>
      <c r="G1276" s="976" t="str">
        <f>VLOOKUP($B1276,DG!A:D,DG!$D$2,)</f>
        <v>bộ</v>
      </c>
      <c r="H1276" s="1689">
        <f t="shared" si="252"/>
        <v>0</v>
      </c>
      <c r="I1276" s="1689">
        <f t="shared" si="252"/>
        <v>0</v>
      </c>
      <c r="J1276" s="1689">
        <f t="shared" si="252"/>
        <v>0</v>
      </c>
      <c r="K1276" s="1689">
        <f t="shared" si="252"/>
        <v>0</v>
      </c>
      <c r="L1276" s="1689">
        <f t="shared" si="252"/>
        <v>0</v>
      </c>
      <c r="M1276" s="1689">
        <f t="shared" si="252"/>
        <v>0</v>
      </c>
      <c r="N1276" s="1689">
        <f t="shared" si="252"/>
        <v>0</v>
      </c>
      <c r="O1276" s="1689"/>
      <c r="P1276" s="1689"/>
      <c r="Q1276" s="985"/>
      <c r="R1276" s="985"/>
      <c r="S1276" s="985"/>
      <c r="T1276" s="1858">
        <f t="shared" si="245"/>
        <v>0</v>
      </c>
    </row>
    <row r="1277" spans="1:20" ht="22.2" hidden="1" customHeight="1">
      <c r="A1277" s="1444">
        <f>COUNTIF($C$12:C1277,"x")</f>
        <v>41</v>
      </c>
      <c r="B1277" s="1451" t="s">
        <v>279</v>
      </c>
      <c r="C1277" s="966" t="str">
        <f t="shared" si="246"/>
        <v xml:space="preserve"> </v>
      </c>
      <c r="D1277" s="1411">
        <v>2</v>
      </c>
      <c r="E1277" s="976"/>
      <c r="F1277" s="988" t="str">
        <f>VLOOKUP($B1277,DG!A:D,DG!$C$2,)</f>
        <v>Sắt dẹt 60 x 6</v>
      </c>
      <c r="G1277" s="976" t="str">
        <f>VLOOKUP($B1277,DG!A:D,DG!$D$2,)</f>
        <v>kg</v>
      </c>
      <c r="H1277" s="1689">
        <f t="shared" si="252"/>
        <v>0</v>
      </c>
      <c r="I1277" s="1689">
        <f t="shared" si="252"/>
        <v>0</v>
      </c>
      <c r="J1277" s="1689">
        <f t="shared" si="252"/>
        <v>0</v>
      </c>
      <c r="K1277" s="1689">
        <f t="shared" si="252"/>
        <v>0</v>
      </c>
      <c r="L1277" s="1689">
        <f t="shared" si="252"/>
        <v>0</v>
      </c>
      <c r="M1277" s="1689">
        <f t="shared" si="252"/>
        <v>0</v>
      </c>
      <c r="N1277" s="1689">
        <f t="shared" si="252"/>
        <v>0</v>
      </c>
      <c r="O1277" s="1689"/>
      <c r="P1277" s="1689"/>
      <c r="Q1277" s="985"/>
      <c r="R1277" s="985"/>
      <c r="S1277" s="985"/>
      <c r="T1277" s="1858">
        <f t="shared" si="245"/>
        <v>0</v>
      </c>
    </row>
    <row r="1278" spans="1:20" ht="22.2" hidden="1" customHeight="1">
      <c r="A1278" s="1444">
        <f>COUNTIF($C$12:C1278,"x")</f>
        <v>41</v>
      </c>
      <c r="B1278" s="1451" t="s">
        <v>1371</v>
      </c>
      <c r="C1278" s="966" t="str">
        <f t="shared" si="246"/>
        <v xml:space="preserve"> </v>
      </c>
      <c r="D1278" s="1411">
        <v>1</v>
      </c>
      <c r="E1278" s="976"/>
      <c r="F1278" s="988" t="str">
        <f>VLOOKUP($B1278,DG!A:D,DG!$C$2,)</f>
        <v xml:space="preserve">Móc treo chữ U </v>
      </c>
      <c r="G1278" s="976" t="str">
        <f>VLOOKUP($B1278,DG!A:D,DG!$D$2,)</f>
        <v>cái</v>
      </c>
      <c r="H1278" s="1689">
        <f t="shared" si="252"/>
        <v>0</v>
      </c>
      <c r="I1278" s="1689">
        <f t="shared" si="252"/>
        <v>0</v>
      </c>
      <c r="J1278" s="1689">
        <f t="shared" si="252"/>
        <v>0</v>
      </c>
      <c r="K1278" s="1689">
        <f t="shared" si="252"/>
        <v>0</v>
      </c>
      <c r="L1278" s="1689">
        <f t="shared" si="252"/>
        <v>0</v>
      </c>
      <c r="M1278" s="1689">
        <f t="shared" si="252"/>
        <v>0</v>
      </c>
      <c r="N1278" s="1689">
        <f t="shared" si="252"/>
        <v>0</v>
      </c>
      <c r="O1278" s="1689"/>
      <c r="P1278" s="1689"/>
      <c r="Q1278" s="985"/>
      <c r="R1278" s="985"/>
      <c r="S1278" s="985"/>
      <c r="T1278" s="1858">
        <f t="shared" si="245"/>
        <v>0</v>
      </c>
    </row>
    <row r="1279" spans="1:20" ht="22.2" hidden="1" customHeight="1">
      <c r="A1279" s="1444">
        <f>COUNTIF($C$12:C1279,"x")</f>
        <v>41</v>
      </c>
      <c r="B1279" s="1467" t="s">
        <v>1891</v>
      </c>
      <c r="C1279" s="966" t="str">
        <f t="shared" si="246"/>
        <v xml:space="preserve"> </v>
      </c>
      <c r="D1279" s="1411">
        <v>2</v>
      </c>
      <c r="E1279" s="976"/>
      <c r="F1279" s="988" t="str">
        <f>VLOOKUP($B1279,DG!A:D,DG!$C$2,)</f>
        <v>Boulon 16x100VRS+ 4 long đền vuông D18-50x50x3/Zn</v>
      </c>
      <c r="G1279" s="976" t="str">
        <f>VLOOKUP($B1279,DG!A:D,DG!$D$2,)</f>
        <v>bộ</v>
      </c>
      <c r="H1279" s="1689">
        <f t="shared" si="252"/>
        <v>0</v>
      </c>
      <c r="I1279" s="1689">
        <f t="shared" si="252"/>
        <v>0</v>
      </c>
      <c r="J1279" s="1689">
        <f t="shared" si="252"/>
        <v>0</v>
      </c>
      <c r="K1279" s="1689">
        <f t="shared" si="252"/>
        <v>0</v>
      </c>
      <c r="L1279" s="1689">
        <f t="shared" si="252"/>
        <v>0</v>
      </c>
      <c r="M1279" s="1689">
        <f t="shared" si="252"/>
        <v>0</v>
      </c>
      <c r="N1279" s="1689">
        <f t="shared" si="252"/>
        <v>0</v>
      </c>
      <c r="O1279" s="1689"/>
      <c r="P1279" s="1689"/>
      <c r="Q1279" s="985"/>
      <c r="R1279" s="985"/>
      <c r="S1279" s="985"/>
      <c r="T1279" s="1858">
        <f t="shared" ref="T1279:T1341" si="253">IFERROR(HLOOKUP(B1279,BangKeTru,3,0),0)</f>
        <v>0</v>
      </c>
    </row>
    <row r="1280" spans="1:20" ht="22.2" hidden="1" customHeight="1">
      <c r="A1280" s="1444">
        <f>COUNTIF($C$12:C1280,"x")</f>
        <v>41</v>
      </c>
      <c r="B1280" s="1451" t="s">
        <v>2000</v>
      </c>
      <c r="C1280" s="966" t="str">
        <f t="shared" si="246"/>
        <v xml:space="preserve"> </v>
      </c>
      <c r="D1280" s="1411">
        <v>2</v>
      </c>
      <c r="E1280" s="976"/>
      <c r="F1280" s="988" t="str">
        <f>VLOOKUP($B1280,DG!A:D,DG!$C$2,)</f>
        <v>Yếm cáp dày 2mm</v>
      </c>
      <c r="G1280" s="976" t="str">
        <f>VLOOKUP($B1280,DG!A:D,DG!$D$2,)</f>
        <v>cái</v>
      </c>
      <c r="H1280" s="1689">
        <f t="shared" si="252"/>
        <v>0</v>
      </c>
      <c r="I1280" s="1689">
        <f t="shared" si="252"/>
        <v>0</v>
      </c>
      <c r="J1280" s="1689">
        <f t="shared" si="252"/>
        <v>0</v>
      </c>
      <c r="K1280" s="1689">
        <f t="shared" si="252"/>
        <v>0</v>
      </c>
      <c r="L1280" s="1689">
        <f t="shared" si="252"/>
        <v>0</v>
      </c>
      <c r="M1280" s="1689">
        <f t="shared" si="252"/>
        <v>0</v>
      </c>
      <c r="N1280" s="1689">
        <f t="shared" si="252"/>
        <v>0</v>
      </c>
      <c r="O1280" s="1689"/>
      <c r="P1280" s="1689"/>
      <c r="Q1280" s="985"/>
      <c r="R1280" s="985"/>
      <c r="S1280" s="985"/>
      <c r="T1280" s="1858">
        <f t="shared" si="253"/>
        <v>0</v>
      </c>
    </row>
    <row r="1281" spans="1:20" ht="22.2" hidden="1" customHeight="1">
      <c r="A1281" s="1444">
        <f>COUNTIF($C$12:C1281,"x")</f>
        <v>41</v>
      </c>
      <c r="B1281" s="1451" t="s">
        <v>2001</v>
      </c>
      <c r="C1281" s="966" t="str">
        <f t="shared" si="246"/>
        <v xml:space="preserve"> </v>
      </c>
      <c r="D1281" s="1411">
        <v>1</v>
      </c>
      <c r="E1281" s="976"/>
      <c r="F1281" s="988" t="str">
        <f>VLOOKUP($B1281,DG!A:D,DG!$C$2,)</f>
        <v>Máng che dây chằng dày 1,6mm</v>
      </c>
      <c r="G1281" s="976" t="str">
        <f>VLOOKUP($B1281,DG!A:D,DG!$D$2,)</f>
        <v>cái</v>
      </c>
      <c r="H1281" s="1689">
        <f t="shared" si="252"/>
        <v>0</v>
      </c>
      <c r="I1281" s="1689">
        <f t="shared" si="252"/>
        <v>0</v>
      </c>
      <c r="J1281" s="1689">
        <f t="shared" si="252"/>
        <v>0</v>
      </c>
      <c r="K1281" s="1689">
        <f t="shared" si="252"/>
        <v>0</v>
      </c>
      <c r="L1281" s="1689">
        <f t="shared" si="252"/>
        <v>0</v>
      </c>
      <c r="M1281" s="1689">
        <f t="shared" si="252"/>
        <v>0</v>
      </c>
      <c r="N1281" s="1689">
        <f t="shared" si="252"/>
        <v>0</v>
      </c>
      <c r="O1281" s="1689"/>
      <c r="P1281" s="1689"/>
      <c r="Q1281" s="985"/>
      <c r="R1281" s="985"/>
      <c r="S1281" s="985"/>
      <c r="T1281" s="1858">
        <f t="shared" si="253"/>
        <v>0</v>
      </c>
    </row>
    <row r="1282" spans="1:20" ht="22.2" hidden="1" customHeight="1">
      <c r="A1282" s="1444">
        <f>COUNTIF($C$12:C1282,"x")</f>
        <v>41</v>
      </c>
      <c r="B1282" s="1451" t="s">
        <v>1918</v>
      </c>
      <c r="C1282" s="966" t="str">
        <f t="shared" si="246"/>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3"/>
        <v>0</v>
      </c>
    </row>
    <row r="1283" spans="1:20" ht="22.2" hidden="1" customHeight="1">
      <c r="A1283" s="1444">
        <f>COUNTIF($C$12:C1283,"x")</f>
        <v>41</v>
      </c>
      <c r="B1283" s="1451" t="s">
        <v>681</v>
      </c>
      <c r="C1283" s="966" t="str">
        <f t="shared" si="246"/>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3"/>
        <v>0</v>
      </c>
    </row>
    <row r="1284" spans="1:20" ht="22.2" hidden="1" customHeight="1">
      <c r="A1284" s="1444">
        <f>COUNTIF($C$12:C1284,"x")</f>
        <v>41</v>
      </c>
      <c r="B1284" s="1451" t="s">
        <v>1906</v>
      </c>
      <c r="C1284" s="966" t="str">
        <f t="shared" si="246"/>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3"/>
        <v>0</v>
      </c>
    </row>
    <row r="1285" spans="1:20" ht="22.2" hidden="1" customHeight="1">
      <c r="A1285" s="1444">
        <f>COUNTIF($C$12:C1285,"x")</f>
        <v>41</v>
      </c>
      <c r="B1285" s="1460" t="s">
        <v>356</v>
      </c>
      <c r="C1285" s="966" t="str">
        <f t="shared" si="246"/>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3"/>
        <v>0</v>
      </c>
    </row>
    <row r="1286" spans="1:20" ht="22.2" hidden="1" customHeight="1">
      <c r="A1286" s="1444">
        <f>COUNTIF($C$12:C1286,"x")</f>
        <v>41</v>
      </c>
      <c r="B1286" s="1448" t="s">
        <v>1085</v>
      </c>
      <c r="C1286" s="966" t="str">
        <f t="shared" si="246"/>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2" hidden="1" customHeight="1">
      <c r="A1287" s="1444">
        <f>COUNTIF($C$12:C1287,"x")</f>
        <v>41</v>
      </c>
      <c r="B1287" s="1451" t="s">
        <v>669</v>
      </c>
      <c r="C1287" s="966" t="str">
        <f t="shared" ref="C1287:C1350" si="254">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5">H$1286*$D1287</f>
        <v>0</v>
      </c>
      <c r="I1287" s="1689">
        <f t="shared" si="255"/>
        <v>0</v>
      </c>
      <c r="J1287" s="1689">
        <f t="shared" si="255"/>
        <v>0</v>
      </c>
      <c r="K1287" s="1689">
        <f t="shared" si="255"/>
        <v>0</v>
      </c>
      <c r="L1287" s="1689">
        <f t="shared" si="255"/>
        <v>0</v>
      </c>
      <c r="M1287" s="1689">
        <f t="shared" si="255"/>
        <v>0</v>
      </c>
      <c r="N1287" s="1689">
        <f t="shared" si="255"/>
        <v>0</v>
      </c>
      <c r="O1287" s="1689"/>
      <c r="P1287" s="1689"/>
      <c r="Q1287" s="985"/>
      <c r="R1287" s="985"/>
      <c r="S1287" s="985"/>
      <c r="T1287" s="1858">
        <f t="shared" si="253"/>
        <v>0</v>
      </c>
    </row>
    <row r="1288" spans="1:20" ht="22.2" hidden="1" customHeight="1">
      <c r="A1288" s="1444">
        <f>COUNTIF($C$12:C1288,"x")</f>
        <v>41</v>
      </c>
      <c r="B1288" s="1451" t="s">
        <v>1466</v>
      </c>
      <c r="C1288" s="966" t="str">
        <f t="shared" si="254"/>
        <v xml:space="preserve"> </v>
      </c>
      <c r="D1288" s="1411">
        <v>1</v>
      </c>
      <c r="E1288" s="976"/>
      <c r="F1288" s="988" t="str">
        <f>VLOOKUP($B1288,DG!A:D,DG!$C$2,)&amp;"-Fe8x100 nhuùng keõm"</f>
        <v>Cổ dê Ø 220 nẹp trụ-Fe8x100 nhuùng keõm</v>
      </c>
      <c r="G1288" s="976" t="str">
        <f>VLOOKUP($B1288,DG!A:D,DG!$D$2,)</f>
        <v>bộ</v>
      </c>
      <c r="H1288" s="1689">
        <f t="shared" ref="H1288:N1288" si="256">H$1371*$D1288</f>
        <v>0</v>
      </c>
      <c r="I1288" s="1689">
        <f t="shared" si="256"/>
        <v>0</v>
      </c>
      <c r="J1288" s="1689">
        <f t="shared" si="256"/>
        <v>0</v>
      </c>
      <c r="K1288" s="1689">
        <f t="shared" si="256"/>
        <v>0</v>
      </c>
      <c r="L1288" s="1689">
        <f t="shared" si="256"/>
        <v>0</v>
      </c>
      <c r="M1288" s="1689">
        <f t="shared" si="256"/>
        <v>0</v>
      </c>
      <c r="N1288" s="1689">
        <f t="shared" si="256"/>
        <v>0</v>
      </c>
      <c r="O1288" s="1689"/>
      <c r="P1288" s="1689"/>
      <c r="Q1288" s="985"/>
      <c r="R1288" s="985"/>
      <c r="S1288" s="985"/>
      <c r="T1288" s="1858">
        <f t="shared" si="253"/>
        <v>0</v>
      </c>
    </row>
    <row r="1289" spans="1:20" ht="22.2" hidden="1" customHeight="1">
      <c r="A1289" s="1444">
        <f>COUNTIF($C$12:C1289,"x")</f>
        <v>41</v>
      </c>
      <c r="B1289" s="1451" t="s">
        <v>111</v>
      </c>
      <c r="C1289" s="966" t="str">
        <f t="shared" si="254"/>
        <v xml:space="preserve"> </v>
      </c>
      <c r="D1289" s="1411">
        <v>2</v>
      </c>
      <c r="E1289" s="976"/>
      <c r="F1289" s="988" t="str">
        <f>VLOOKUP($B1289,DG!A:D,DG!$C$2,)</f>
        <v>Sứ chằng</v>
      </c>
      <c r="G1289" s="976" t="str">
        <f>VLOOKUP($B1289,DG!A:D,DG!$D$2,)</f>
        <v>cái</v>
      </c>
      <c r="H1289" s="1689">
        <f t="shared" ref="H1289:N1296" si="257">H$1286*$D1289</f>
        <v>0</v>
      </c>
      <c r="I1289" s="1689">
        <f t="shared" si="257"/>
        <v>0</v>
      </c>
      <c r="J1289" s="1689">
        <f t="shared" si="257"/>
        <v>0</v>
      </c>
      <c r="K1289" s="1689">
        <f t="shared" si="257"/>
        <v>0</v>
      </c>
      <c r="L1289" s="1689">
        <f t="shared" si="257"/>
        <v>0</v>
      </c>
      <c r="M1289" s="1689">
        <f t="shared" si="257"/>
        <v>0</v>
      </c>
      <c r="N1289" s="1689">
        <f t="shared" si="257"/>
        <v>0</v>
      </c>
      <c r="O1289" s="1689"/>
      <c r="P1289" s="1689"/>
      <c r="Q1289" s="985"/>
      <c r="R1289" s="985"/>
      <c r="S1289" s="985"/>
      <c r="T1289" s="1858">
        <f t="shared" si="253"/>
        <v>0</v>
      </c>
    </row>
    <row r="1290" spans="1:20" ht="22.2" hidden="1" customHeight="1">
      <c r="A1290" s="1444">
        <f>COUNTIF($C$12:C1290,"x")</f>
        <v>41</v>
      </c>
      <c r="B1290" s="1451" t="s">
        <v>1578</v>
      </c>
      <c r="C1290" s="966" t="str">
        <f t="shared" si="254"/>
        <v xml:space="preserve"> </v>
      </c>
      <c r="D1290" s="1411">
        <v>16</v>
      </c>
      <c r="E1290" s="976"/>
      <c r="F1290" s="988" t="str">
        <f>VLOOKUP($B1290,DG!A:D,DG!$C$2,)</f>
        <v>Kẹp cáp 3 boulon</v>
      </c>
      <c r="G1290" s="976" t="str">
        <f>VLOOKUP($B1290,DG!A:D,DG!$D$2,)</f>
        <v>cái</v>
      </c>
      <c r="H1290" s="1689">
        <f t="shared" si="257"/>
        <v>0</v>
      </c>
      <c r="I1290" s="1689">
        <f t="shared" si="257"/>
        <v>0</v>
      </c>
      <c r="J1290" s="1689">
        <f t="shared" si="257"/>
        <v>0</v>
      </c>
      <c r="K1290" s="1689">
        <f t="shared" si="257"/>
        <v>0</v>
      </c>
      <c r="L1290" s="1689">
        <f t="shared" si="257"/>
        <v>0</v>
      </c>
      <c r="M1290" s="1689">
        <f t="shared" si="257"/>
        <v>0</v>
      </c>
      <c r="N1290" s="1689">
        <f t="shared" si="257"/>
        <v>0</v>
      </c>
      <c r="O1290" s="1689"/>
      <c r="P1290" s="1689"/>
      <c r="Q1290" s="985"/>
      <c r="R1290" s="985"/>
      <c r="S1290" s="985"/>
      <c r="T1290" s="1858">
        <f t="shared" si="253"/>
        <v>0</v>
      </c>
    </row>
    <row r="1291" spans="1:20" ht="22.2" hidden="1" customHeight="1">
      <c r="A1291" s="1444">
        <f>COUNTIF($C$12:C1291,"x")</f>
        <v>41</v>
      </c>
      <c r="B1291" s="1466" t="s">
        <v>1049</v>
      </c>
      <c r="C1291" s="966" t="str">
        <f t="shared" si="254"/>
        <v xml:space="preserve"> </v>
      </c>
      <c r="D1291" s="1411">
        <v>26</v>
      </c>
      <c r="E1291" s="976"/>
      <c r="F1291" s="988" t="str">
        <f>VLOOKUP($B1291,DG!A:D,DG!$C$2,)</f>
        <v>Kẹp hotline 4/0</v>
      </c>
      <c r="G1291" s="976" t="str">
        <f>VLOOKUP($B1291,DG!A:D,DG!$D$2,)</f>
        <v>cái</v>
      </c>
      <c r="H1291" s="1689">
        <f t="shared" si="257"/>
        <v>0</v>
      </c>
      <c r="I1291" s="1689">
        <f t="shared" si="257"/>
        <v>0</v>
      </c>
      <c r="J1291" s="1689">
        <f t="shared" si="257"/>
        <v>0</v>
      </c>
      <c r="K1291" s="1689">
        <f t="shared" si="257"/>
        <v>0</v>
      </c>
      <c r="L1291" s="1689">
        <f t="shared" si="257"/>
        <v>0</v>
      </c>
      <c r="M1291" s="1689">
        <f t="shared" si="257"/>
        <v>0</v>
      </c>
      <c r="N1291" s="1689">
        <f t="shared" si="257"/>
        <v>0</v>
      </c>
      <c r="O1291" s="1689"/>
      <c r="P1291" s="1689"/>
      <c r="Q1291" s="985"/>
      <c r="R1291" s="985"/>
      <c r="S1291" s="985"/>
      <c r="T1291" s="1858">
        <f t="shared" si="253"/>
        <v>0</v>
      </c>
    </row>
    <row r="1292" spans="1:20" ht="22.2" hidden="1" customHeight="1">
      <c r="A1292" s="1444">
        <f>COUNTIF($C$12:C1292,"x")</f>
        <v>41</v>
      </c>
      <c r="B1292" s="1451" t="s">
        <v>279</v>
      </c>
      <c r="C1292" s="966" t="str">
        <f t="shared" si="254"/>
        <v xml:space="preserve"> </v>
      </c>
      <c r="D1292" s="1411">
        <v>4</v>
      </c>
      <c r="E1292" s="976"/>
      <c r="F1292" s="988" t="str">
        <f>VLOOKUP($B1292,DG!A:D,DG!$C$2,)</f>
        <v>Sắt dẹt 60 x 6</v>
      </c>
      <c r="G1292" s="976" t="str">
        <f>VLOOKUP($B1292,DG!A:D,DG!$D$2,)</f>
        <v>kg</v>
      </c>
      <c r="H1292" s="1689">
        <f t="shared" si="257"/>
        <v>0</v>
      </c>
      <c r="I1292" s="1689">
        <f t="shared" si="257"/>
        <v>0</v>
      </c>
      <c r="J1292" s="1689">
        <f t="shared" si="257"/>
        <v>0</v>
      </c>
      <c r="K1292" s="1689">
        <f t="shared" si="257"/>
        <v>0</v>
      </c>
      <c r="L1292" s="1689">
        <f t="shared" si="257"/>
        <v>0</v>
      </c>
      <c r="M1292" s="1689">
        <f t="shared" si="257"/>
        <v>0</v>
      </c>
      <c r="N1292" s="1689">
        <f t="shared" si="257"/>
        <v>0</v>
      </c>
      <c r="O1292" s="1689"/>
      <c r="P1292" s="1689"/>
      <c r="Q1292" s="985"/>
      <c r="R1292" s="985"/>
      <c r="S1292" s="985"/>
      <c r="T1292" s="1858">
        <f t="shared" si="253"/>
        <v>0</v>
      </c>
    </row>
    <row r="1293" spans="1:20" ht="22.2" hidden="1" customHeight="1">
      <c r="A1293" s="1444">
        <f>COUNTIF($C$12:C1293,"x")</f>
        <v>41</v>
      </c>
      <c r="B1293" s="1451" t="s">
        <v>1371</v>
      </c>
      <c r="C1293" s="966" t="str">
        <f t="shared" si="254"/>
        <v xml:space="preserve"> </v>
      </c>
      <c r="D1293" s="1411">
        <v>2</v>
      </c>
      <c r="E1293" s="976"/>
      <c r="F1293" s="988" t="str">
        <f>VLOOKUP($B1293,DG!A:D,DG!$C$2,)</f>
        <v xml:space="preserve">Móc treo chữ U </v>
      </c>
      <c r="G1293" s="976" t="str">
        <f>VLOOKUP($B1293,DG!A:D,DG!$D$2,)</f>
        <v>cái</v>
      </c>
      <c r="H1293" s="1689">
        <f t="shared" si="257"/>
        <v>0</v>
      </c>
      <c r="I1293" s="1689">
        <f t="shared" si="257"/>
        <v>0</v>
      </c>
      <c r="J1293" s="1689">
        <f t="shared" si="257"/>
        <v>0</v>
      </c>
      <c r="K1293" s="1689">
        <f t="shared" si="257"/>
        <v>0</v>
      </c>
      <c r="L1293" s="1689">
        <f t="shared" si="257"/>
        <v>0</v>
      </c>
      <c r="M1293" s="1689">
        <f t="shared" si="257"/>
        <v>0</v>
      </c>
      <c r="N1293" s="1689">
        <f t="shared" si="257"/>
        <v>0</v>
      </c>
      <c r="O1293" s="1689"/>
      <c r="P1293" s="1689"/>
      <c r="Q1293" s="985"/>
      <c r="R1293" s="985"/>
      <c r="S1293" s="985"/>
      <c r="T1293" s="1858">
        <f t="shared" si="253"/>
        <v>0</v>
      </c>
    </row>
    <row r="1294" spans="1:20" ht="22.2" hidden="1" customHeight="1">
      <c r="A1294" s="1444">
        <f>COUNTIF($C$12:C1294,"x")</f>
        <v>41</v>
      </c>
      <c r="B1294" s="1467" t="s">
        <v>1891</v>
      </c>
      <c r="C1294" s="966" t="str">
        <f t="shared" si="254"/>
        <v xml:space="preserve"> </v>
      </c>
      <c r="D1294" s="1411">
        <v>4</v>
      </c>
      <c r="E1294" s="976"/>
      <c r="F1294" s="988" t="str">
        <f>VLOOKUP($B1294,DG!A:D,DG!$C$2,)</f>
        <v>Boulon 16x100VRS+ 4 long đền vuông D18-50x50x3/Zn</v>
      </c>
      <c r="G1294" s="976" t="str">
        <f>VLOOKUP($B1294,DG!A:D,DG!$D$2,)</f>
        <v>bộ</v>
      </c>
      <c r="H1294" s="1689">
        <f t="shared" si="257"/>
        <v>0</v>
      </c>
      <c r="I1294" s="1689">
        <f t="shared" si="257"/>
        <v>0</v>
      </c>
      <c r="J1294" s="1689">
        <f t="shared" si="257"/>
        <v>0</v>
      </c>
      <c r="K1294" s="1689">
        <f t="shared" si="257"/>
        <v>0</v>
      </c>
      <c r="L1294" s="1689">
        <f t="shared" si="257"/>
        <v>0</v>
      </c>
      <c r="M1294" s="1689">
        <f t="shared" si="257"/>
        <v>0</v>
      </c>
      <c r="N1294" s="1689">
        <f t="shared" si="257"/>
        <v>0</v>
      </c>
      <c r="O1294" s="1689"/>
      <c r="P1294" s="1689"/>
      <c r="Q1294" s="985"/>
      <c r="R1294" s="985"/>
      <c r="S1294" s="985"/>
      <c r="T1294" s="1858">
        <f t="shared" si="253"/>
        <v>0</v>
      </c>
    </row>
    <row r="1295" spans="1:20" ht="22.2" hidden="1" customHeight="1">
      <c r="A1295" s="1444">
        <f>COUNTIF($C$12:C1295,"x")</f>
        <v>41</v>
      </c>
      <c r="B1295" s="1451" t="s">
        <v>2000</v>
      </c>
      <c r="C1295" s="966" t="str">
        <f t="shared" si="254"/>
        <v xml:space="preserve"> </v>
      </c>
      <c r="D1295" s="1411">
        <v>4</v>
      </c>
      <c r="E1295" s="976"/>
      <c r="F1295" s="988" t="str">
        <f>VLOOKUP($B1295,DG!A:D,DG!$C$2,)</f>
        <v>Yếm cáp dày 2mm</v>
      </c>
      <c r="G1295" s="976" t="str">
        <f>VLOOKUP($B1295,DG!A:D,DG!$D$2,)</f>
        <v>cái</v>
      </c>
      <c r="H1295" s="1689">
        <f t="shared" si="257"/>
        <v>0</v>
      </c>
      <c r="I1295" s="1689">
        <f t="shared" si="257"/>
        <v>0</v>
      </c>
      <c r="J1295" s="1689">
        <f t="shared" si="257"/>
        <v>0</v>
      </c>
      <c r="K1295" s="1689">
        <f t="shared" si="257"/>
        <v>0</v>
      </c>
      <c r="L1295" s="1689">
        <f t="shared" si="257"/>
        <v>0</v>
      </c>
      <c r="M1295" s="1689">
        <f t="shared" si="257"/>
        <v>0</v>
      </c>
      <c r="N1295" s="1689">
        <f t="shared" si="257"/>
        <v>0</v>
      </c>
      <c r="O1295" s="1689"/>
      <c r="P1295" s="1689"/>
      <c r="Q1295" s="985"/>
      <c r="R1295" s="985"/>
      <c r="S1295" s="985"/>
      <c r="T1295" s="1858">
        <f t="shared" si="253"/>
        <v>0</v>
      </c>
    </row>
    <row r="1296" spans="1:20" ht="22.2" hidden="1" customHeight="1">
      <c r="A1296" s="1444">
        <f>COUNTIF($C$12:C1296,"x")</f>
        <v>41</v>
      </c>
      <c r="B1296" s="1451" t="s">
        <v>2001</v>
      </c>
      <c r="C1296" s="966" t="str">
        <f t="shared" si="254"/>
        <v xml:space="preserve"> </v>
      </c>
      <c r="D1296" s="1411">
        <v>2</v>
      </c>
      <c r="E1296" s="976"/>
      <c r="F1296" s="988" t="str">
        <f>VLOOKUP($B1296,DG!A:D,DG!$C$2,)</f>
        <v>Máng che dây chằng dày 1,6mm</v>
      </c>
      <c r="G1296" s="976" t="str">
        <f>VLOOKUP($B1296,DG!A:D,DG!$D$2,)</f>
        <v>cái</v>
      </c>
      <c r="H1296" s="1689">
        <f t="shared" si="257"/>
        <v>0</v>
      </c>
      <c r="I1296" s="1689">
        <f t="shared" si="257"/>
        <v>0</v>
      </c>
      <c r="J1296" s="1689">
        <f t="shared" si="257"/>
        <v>0</v>
      </c>
      <c r="K1296" s="1689">
        <f t="shared" si="257"/>
        <v>0</v>
      </c>
      <c r="L1296" s="1689">
        <f t="shared" si="257"/>
        <v>0</v>
      </c>
      <c r="M1296" s="1689">
        <f t="shared" si="257"/>
        <v>0</v>
      </c>
      <c r="N1296" s="1689">
        <f t="shared" si="257"/>
        <v>0</v>
      </c>
      <c r="O1296" s="1689"/>
      <c r="P1296" s="1689"/>
      <c r="Q1296" s="985"/>
      <c r="R1296" s="985"/>
      <c r="S1296" s="985"/>
      <c r="T1296" s="1858">
        <f t="shared" si="253"/>
        <v>0</v>
      </c>
    </row>
    <row r="1297" spans="1:20" ht="22.2" hidden="1" customHeight="1">
      <c r="A1297" s="1444">
        <f>COUNTIF($C$12:C1297,"x")</f>
        <v>41</v>
      </c>
      <c r="B1297" s="1451" t="s">
        <v>1918</v>
      </c>
      <c r="C1297" s="966" t="str">
        <f t="shared" si="254"/>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3"/>
        <v>0</v>
      </c>
    </row>
    <row r="1298" spans="1:20" ht="22.2" hidden="1" customHeight="1">
      <c r="A1298" s="1444">
        <f>COUNTIF($C$12:C1298,"x")</f>
        <v>41</v>
      </c>
      <c r="B1298" s="1451" t="s">
        <v>681</v>
      </c>
      <c r="C1298" s="966" t="str">
        <f t="shared" si="254"/>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3"/>
        <v>0</v>
      </c>
    </row>
    <row r="1299" spans="1:20" ht="22.2" hidden="1" customHeight="1">
      <c r="A1299" s="1444">
        <f>COUNTIF($C$12:C1299,"x")</f>
        <v>41</v>
      </c>
      <c r="B1299" s="1460" t="s">
        <v>356</v>
      </c>
      <c r="C1299" s="966" t="str">
        <f t="shared" si="254"/>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3"/>
        <v>0</v>
      </c>
    </row>
    <row r="1300" spans="1:20" ht="22.2" hidden="1" customHeight="1">
      <c r="A1300" s="1444">
        <f>COUNTIF($C$12:C1300,"x")</f>
        <v>41</v>
      </c>
      <c r="B1300" s="1448" t="s">
        <v>1086</v>
      </c>
      <c r="C1300" s="966" t="str">
        <f t="shared" si="254"/>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2" hidden="1" customHeight="1">
      <c r="A1301" s="1444">
        <f>COUNTIF($C$12:C1301,"x")</f>
        <v>41</v>
      </c>
      <c r="B1301" s="1451" t="s">
        <v>669</v>
      </c>
      <c r="C1301" s="966" t="str">
        <f t="shared" si="254"/>
        <v xml:space="preserve"> </v>
      </c>
      <c r="D1301" s="1411">
        <v>1</v>
      </c>
      <c r="E1301" s="976"/>
      <c r="F1301" s="988" t="str">
        <f>VLOOKUP($B1301,DG!A:D,DG!$C$2,)&amp;"-Fe8x100 nhuùng keõm"</f>
        <v>Cổ dê Ø 195 nẹp trụ-Fe8x100 nhuùng keõm</v>
      </c>
      <c r="G1301" s="976" t="str">
        <f>VLOOKUP($B1301,DG!A:D,DG!$D$2,)</f>
        <v>bộ</v>
      </c>
      <c r="H1301" s="1689">
        <f t="shared" ref="H1301:N1309" si="258">H$1300*$D1301</f>
        <v>0</v>
      </c>
      <c r="I1301" s="1689">
        <f t="shared" si="258"/>
        <v>0</v>
      </c>
      <c r="J1301" s="1689">
        <f t="shared" si="258"/>
        <v>0</v>
      </c>
      <c r="K1301" s="1689">
        <f t="shared" si="258"/>
        <v>0</v>
      </c>
      <c r="L1301" s="1689">
        <f t="shared" si="258"/>
        <v>0</v>
      </c>
      <c r="M1301" s="1689">
        <f t="shared" si="258"/>
        <v>0</v>
      </c>
      <c r="N1301" s="1689">
        <f t="shared" si="258"/>
        <v>0</v>
      </c>
      <c r="O1301" s="1689"/>
      <c r="P1301" s="1689"/>
      <c r="Q1301" s="985"/>
      <c r="R1301" s="985"/>
      <c r="S1301" s="985"/>
      <c r="T1301" s="1858">
        <f t="shared" si="253"/>
        <v>0</v>
      </c>
    </row>
    <row r="1302" spans="1:20" ht="22.2" hidden="1" customHeight="1">
      <c r="A1302" s="1444">
        <f>COUNTIF($C$12:C1302,"x")</f>
        <v>41</v>
      </c>
      <c r="B1302" s="1451" t="s">
        <v>111</v>
      </c>
      <c r="C1302" s="966" t="str">
        <f t="shared" si="254"/>
        <v xml:space="preserve"> </v>
      </c>
      <c r="D1302" s="1411">
        <v>1</v>
      </c>
      <c r="E1302" s="976"/>
      <c r="F1302" s="988" t="str">
        <f>VLOOKUP($B1302,DG!A:D,DG!$C$2,)</f>
        <v>Sứ chằng</v>
      </c>
      <c r="G1302" s="976" t="str">
        <f>VLOOKUP($B1302,DG!A:D,DG!$D$2,)</f>
        <v>cái</v>
      </c>
      <c r="H1302" s="1689">
        <f t="shared" si="258"/>
        <v>0</v>
      </c>
      <c r="I1302" s="1689">
        <f t="shared" si="258"/>
        <v>0</v>
      </c>
      <c r="J1302" s="1689">
        <f t="shared" si="258"/>
        <v>0</v>
      </c>
      <c r="K1302" s="1689">
        <f t="shared" si="258"/>
        <v>0</v>
      </c>
      <c r="L1302" s="1689">
        <f t="shared" si="258"/>
        <v>0</v>
      </c>
      <c r="M1302" s="1689">
        <f t="shared" si="258"/>
        <v>0</v>
      </c>
      <c r="N1302" s="1689">
        <f t="shared" si="258"/>
        <v>0</v>
      </c>
      <c r="O1302" s="1689"/>
      <c r="P1302" s="1689"/>
      <c r="Q1302" s="985"/>
      <c r="R1302" s="985"/>
      <c r="S1302" s="985"/>
      <c r="T1302" s="1858">
        <f t="shared" si="253"/>
        <v>0</v>
      </c>
    </row>
    <row r="1303" spans="1:20" ht="22.2" hidden="1" customHeight="1">
      <c r="A1303" s="1444">
        <f>COUNTIF($C$12:C1303,"x")</f>
        <v>41</v>
      </c>
      <c r="B1303" s="1451" t="s">
        <v>1578</v>
      </c>
      <c r="C1303" s="966" t="str">
        <f t="shared" si="254"/>
        <v xml:space="preserve"> </v>
      </c>
      <c r="D1303" s="1411">
        <v>8</v>
      </c>
      <c r="E1303" s="976"/>
      <c r="F1303" s="988" t="str">
        <f>VLOOKUP($B1303,DG!A:D,DG!$C$2,)</f>
        <v>Kẹp cáp 3 boulon</v>
      </c>
      <c r="G1303" s="976" t="str">
        <f>VLOOKUP($B1303,DG!A:D,DG!$D$2,)</f>
        <v>cái</v>
      </c>
      <c r="H1303" s="1689">
        <f t="shared" si="258"/>
        <v>0</v>
      </c>
      <c r="I1303" s="1689">
        <f t="shared" si="258"/>
        <v>0</v>
      </c>
      <c r="J1303" s="1689">
        <f t="shared" si="258"/>
        <v>0</v>
      </c>
      <c r="K1303" s="1689">
        <f t="shared" si="258"/>
        <v>0</v>
      </c>
      <c r="L1303" s="1689">
        <f t="shared" si="258"/>
        <v>0</v>
      </c>
      <c r="M1303" s="1689">
        <f t="shared" si="258"/>
        <v>0</v>
      </c>
      <c r="N1303" s="1689">
        <f t="shared" si="258"/>
        <v>0</v>
      </c>
      <c r="O1303" s="1689"/>
      <c r="P1303" s="1689"/>
      <c r="Q1303" s="985"/>
      <c r="R1303" s="985"/>
      <c r="S1303" s="985"/>
      <c r="T1303" s="1858">
        <f t="shared" si="253"/>
        <v>0</v>
      </c>
    </row>
    <row r="1304" spans="1:20" ht="22.2" hidden="1" customHeight="1">
      <c r="A1304" s="1444">
        <f>COUNTIF($C$12:C1304,"x")</f>
        <v>41</v>
      </c>
      <c r="B1304" s="1466" t="s">
        <v>1049</v>
      </c>
      <c r="C1304" s="966" t="str">
        <f t="shared" si="254"/>
        <v xml:space="preserve"> </v>
      </c>
      <c r="D1304" s="1411">
        <v>17</v>
      </c>
      <c r="E1304" s="976"/>
      <c r="F1304" s="988" t="str">
        <f>VLOOKUP($B1304,DG!A:D,DG!$C$2,)</f>
        <v>Kẹp hotline 4/0</v>
      </c>
      <c r="G1304" s="976" t="str">
        <f>VLOOKUP($B1304,DG!A:D,DG!$D$2,)</f>
        <v>cái</v>
      </c>
      <c r="H1304" s="1689">
        <f t="shared" si="258"/>
        <v>0</v>
      </c>
      <c r="I1304" s="1689">
        <f t="shared" si="258"/>
        <v>0</v>
      </c>
      <c r="J1304" s="1689">
        <f t="shared" si="258"/>
        <v>0</v>
      </c>
      <c r="K1304" s="1689">
        <f t="shared" si="258"/>
        <v>0</v>
      </c>
      <c r="L1304" s="1689">
        <f t="shared" si="258"/>
        <v>0</v>
      </c>
      <c r="M1304" s="1689">
        <f t="shared" si="258"/>
        <v>0</v>
      </c>
      <c r="N1304" s="1689">
        <f t="shared" si="258"/>
        <v>0</v>
      </c>
      <c r="O1304" s="1689"/>
      <c r="P1304" s="1689"/>
      <c r="Q1304" s="985"/>
      <c r="R1304" s="985"/>
      <c r="S1304" s="985"/>
      <c r="T1304" s="1858">
        <f t="shared" si="253"/>
        <v>0</v>
      </c>
    </row>
    <row r="1305" spans="1:20" ht="22.2" hidden="1" customHeight="1">
      <c r="A1305" s="1444">
        <f>COUNTIF($C$12:C1305,"x")</f>
        <v>41</v>
      </c>
      <c r="B1305" s="1451" t="s">
        <v>279</v>
      </c>
      <c r="C1305" s="966" t="str">
        <f t="shared" si="254"/>
        <v xml:space="preserve"> </v>
      </c>
      <c r="D1305" s="1411">
        <v>2</v>
      </c>
      <c r="E1305" s="976"/>
      <c r="F1305" s="988" t="str">
        <f>VLOOKUP($B1305,DG!A:D,DG!$C$2,)</f>
        <v>Sắt dẹt 60 x 6</v>
      </c>
      <c r="G1305" s="976" t="str">
        <f>VLOOKUP($B1305,DG!A:D,DG!$D$2,)</f>
        <v>kg</v>
      </c>
      <c r="H1305" s="1689">
        <f t="shared" si="258"/>
        <v>0</v>
      </c>
      <c r="I1305" s="1689">
        <f t="shared" si="258"/>
        <v>0</v>
      </c>
      <c r="J1305" s="1689">
        <f t="shared" si="258"/>
        <v>0</v>
      </c>
      <c r="K1305" s="1689">
        <f t="shared" si="258"/>
        <v>0</v>
      </c>
      <c r="L1305" s="1689">
        <f t="shared" si="258"/>
        <v>0</v>
      </c>
      <c r="M1305" s="1689">
        <f t="shared" si="258"/>
        <v>0</v>
      </c>
      <c r="N1305" s="1689">
        <f t="shared" si="258"/>
        <v>0</v>
      </c>
      <c r="O1305" s="1689"/>
      <c r="P1305" s="1689"/>
      <c r="Q1305" s="985"/>
      <c r="R1305" s="985"/>
      <c r="S1305" s="985"/>
      <c r="T1305" s="1858">
        <f t="shared" si="253"/>
        <v>0</v>
      </c>
    </row>
    <row r="1306" spans="1:20" ht="22.2" hidden="1" customHeight="1">
      <c r="A1306" s="1444">
        <f>COUNTIF($C$12:C1306,"x")</f>
        <v>41</v>
      </c>
      <c r="B1306" s="1451" t="s">
        <v>1371</v>
      </c>
      <c r="C1306" s="966" t="str">
        <f t="shared" si="254"/>
        <v xml:space="preserve"> </v>
      </c>
      <c r="D1306" s="1411">
        <v>1</v>
      </c>
      <c r="E1306" s="976"/>
      <c r="F1306" s="988" t="str">
        <f>VLOOKUP($B1306,DG!A:D,DG!$C$2,)</f>
        <v xml:space="preserve">Móc treo chữ U </v>
      </c>
      <c r="G1306" s="976" t="str">
        <f>VLOOKUP($B1306,DG!A:D,DG!$D$2,)</f>
        <v>cái</v>
      </c>
      <c r="H1306" s="1689">
        <f t="shared" si="258"/>
        <v>0</v>
      </c>
      <c r="I1306" s="1689">
        <f t="shared" si="258"/>
        <v>0</v>
      </c>
      <c r="J1306" s="1689">
        <f t="shared" si="258"/>
        <v>0</v>
      </c>
      <c r="K1306" s="1689">
        <f t="shared" si="258"/>
        <v>0</v>
      </c>
      <c r="L1306" s="1689">
        <f t="shared" si="258"/>
        <v>0</v>
      </c>
      <c r="M1306" s="1689">
        <f t="shared" si="258"/>
        <v>0</v>
      </c>
      <c r="N1306" s="1689">
        <f t="shared" si="258"/>
        <v>0</v>
      </c>
      <c r="O1306" s="1689"/>
      <c r="P1306" s="1689"/>
      <c r="Q1306" s="985"/>
      <c r="R1306" s="985"/>
      <c r="S1306" s="985"/>
      <c r="T1306" s="1858">
        <f t="shared" si="253"/>
        <v>0</v>
      </c>
    </row>
    <row r="1307" spans="1:20" ht="22.2" hidden="1" customHeight="1">
      <c r="A1307" s="1444">
        <f>COUNTIF($C$12:C1307,"x")</f>
        <v>41</v>
      </c>
      <c r="B1307" s="1467" t="s">
        <v>1891</v>
      </c>
      <c r="C1307" s="966" t="str">
        <f t="shared" si="254"/>
        <v xml:space="preserve"> </v>
      </c>
      <c r="D1307" s="1411">
        <v>2</v>
      </c>
      <c r="E1307" s="976"/>
      <c r="F1307" s="988" t="str">
        <f>VLOOKUP($B1307,DG!A:D,DG!$C$2,)</f>
        <v>Boulon 16x100VRS+ 4 long đền vuông D18-50x50x3/Zn</v>
      </c>
      <c r="G1307" s="976" t="str">
        <f>VLOOKUP($B1307,DG!A:D,DG!$D$2,)</f>
        <v>bộ</v>
      </c>
      <c r="H1307" s="1689">
        <f t="shared" si="258"/>
        <v>0</v>
      </c>
      <c r="I1307" s="1689">
        <f t="shared" si="258"/>
        <v>0</v>
      </c>
      <c r="J1307" s="1689">
        <f t="shared" si="258"/>
        <v>0</v>
      </c>
      <c r="K1307" s="1689">
        <f t="shared" si="258"/>
        <v>0</v>
      </c>
      <c r="L1307" s="1689">
        <f t="shared" si="258"/>
        <v>0</v>
      </c>
      <c r="M1307" s="1689">
        <f t="shared" si="258"/>
        <v>0</v>
      </c>
      <c r="N1307" s="1689">
        <f t="shared" si="258"/>
        <v>0</v>
      </c>
      <c r="O1307" s="1689"/>
      <c r="P1307" s="1689"/>
      <c r="Q1307" s="985"/>
      <c r="R1307" s="985"/>
      <c r="S1307" s="985"/>
      <c r="T1307" s="1858">
        <f t="shared" si="253"/>
        <v>0</v>
      </c>
    </row>
    <row r="1308" spans="1:20" ht="22.2" hidden="1" customHeight="1">
      <c r="A1308" s="1444">
        <f>COUNTIF($C$12:C1308,"x")</f>
        <v>41</v>
      </c>
      <c r="B1308" s="1451" t="s">
        <v>2000</v>
      </c>
      <c r="C1308" s="966" t="str">
        <f t="shared" si="254"/>
        <v xml:space="preserve"> </v>
      </c>
      <c r="D1308" s="1411">
        <v>2</v>
      </c>
      <c r="E1308" s="976"/>
      <c r="F1308" s="988" t="str">
        <f>VLOOKUP($B1308,DG!A:D,DG!$C$2,)</f>
        <v>Yếm cáp dày 2mm</v>
      </c>
      <c r="G1308" s="976" t="str">
        <f>VLOOKUP($B1308,DG!A:D,DG!$D$2,)</f>
        <v>cái</v>
      </c>
      <c r="H1308" s="1689">
        <f t="shared" si="258"/>
        <v>0</v>
      </c>
      <c r="I1308" s="1689">
        <f t="shared" si="258"/>
        <v>0</v>
      </c>
      <c r="J1308" s="1689">
        <f t="shared" si="258"/>
        <v>0</v>
      </c>
      <c r="K1308" s="1689">
        <f t="shared" si="258"/>
        <v>0</v>
      </c>
      <c r="L1308" s="1689">
        <f t="shared" si="258"/>
        <v>0</v>
      </c>
      <c r="M1308" s="1689">
        <f t="shared" si="258"/>
        <v>0</v>
      </c>
      <c r="N1308" s="1689">
        <f t="shared" si="258"/>
        <v>0</v>
      </c>
      <c r="O1308" s="1689"/>
      <c r="P1308" s="1689"/>
      <c r="Q1308" s="985"/>
      <c r="R1308" s="985"/>
      <c r="S1308" s="985"/>
      <c r="T1308" s="1858">
        <f t="shared" si="253"/>
        <v>0</v>
      </c>
    </row>
    <row r="1309" spans="1:20" ht="22.2" hidden="1" customHeight="1">
      <c r="A1309" s="1444">
        <f>COUNTIF($C$12:C1309,"x")</f>
        <v>41</v>
      </c>
      <c r="B1309" s="1451" t="s">
        <v>2001</v>
      </c>
      <c r="C1309" s="966" t="str">
        <f t="shared" si="254"/>
        <v xml:space="preserve"> </v>
      </c>
      <c r="D1309" s="1411">
        <v>1</v>
      </c>
      <c r="E1309" s="976"/>
      <c r="F1309" s="988" t="str">
        <f>VLOOKUP($B1309,DG!A:D,DG!$C$2,)</f>
        <v>Máng che dây chằng dày 1,6mm</v>
      </c>
      <c r="G1309" s="976" t="str">
        <f>VLOOKUP($B1309,DG!A:D,DG!$D$2,)</f>
        <v>cái</v>
      </c>
      <c r="H1309" s="1689">
        <f t="shared" si="258"/>
        <v>0</v>
      </c>
      <c r="I1309" s="1689">
        <f t="shared" si="258"/>
        <v>0</v>
      </c>
      <c r="J1309" s="1689">
        <f t="shared" si="258"/>
        <v>0</v>
      </c>
      <c r="K1309" s="1689">
        <f t="shared" si="258"/>
        <v>0</v>
      </c>
      <c r="L1309" s="1689">
        <f t="shared" si="258"/>
        <v>0</v>
      </c>
      <c r="M1309" s="1689">
        <f t="shared" si="258"/>
        <v>0</v>
      </c>
      <c r="N1309" s="1689">
        <f t="shared" si="258"/>
        <v>0</v>
      </c>
      <c r="O1309" s="1689"/>
      <c r="P1309" s="1689"/>
      <c r="Q1309" s="985"/>
      <c r="R1309" s="985"/>
      <c r="S1309" s="985"/>
      <c r="T1309" s="1858">
        <f t="shared" si="253"/>
        <v>0</v>
      </c>
    </row>
    <row r="1310" spans="1:20" ht="22.2" hidden="1" customHeight="1">
      <c r="A1310" s="1444">
        <f>COUNTIF($C$12:C1310,"x")</f>
        <v>41</v>
      </c>
      <c r="B1310" s="1451" t="s">
        <v>1918</v>
      </c>
      <c r="C1310" s="966" t="str">
        <f t="shared" si="254"/>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3"/>
        <v>0</v>
      </c>
    </row>
    <row r="1311" spans="1:20" ht="22.2" hidden="1" customHeight="1">
      <c r="A1311" s="1444">
        <f>COUNTIF($C$12:C1311,"x")</f>
        <v>41</v>
      </c>
      <c r="B1311" s="1451" t="s">
        <v>681</v>
      </c>
      <c r="C1311" s="966" t="str">
        <f t="shared" si="254"/>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3"/>
        <v>0</v>
      </c>
    </row>
    <row r="1312" spans="1:20" ht="22.2" hidden="1" customHeight="1">
      <c r="A1312" s="1444">
        <f>COUNTIF($C$12:C1312,"x")</f>
        <v>41</v>
      </c>
      <c r="B1312" s="1460" t="s">
        <v>356</v>
      </c>
      <c r="C1312" s="966" t="str">
        <f t="shared" si="254"/>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3"/>
        <v>0</v>
      </c>
    </row>
    <row r="1313" spans="1:20" ht="22.2" hidden="1" customHeight="1">
      <c r="A1313" s="1444">
        <f>COUNTIF($C$12:C1313,"x")</f>
        <v>41</v>
      </c>
      <c r="B1313" s="1448" t="s">
        <v>1087</v>
      </c>
      <c r="C1313" s="966" t="str">
        <f t="shared" si="254"/>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2" hidden="1" customHeight="1">
      <c r="A1314" s="1444">
        <f>COUNTIF($C$12:C1314,"x")</f>
        <v>41</v>
      </c>
      <c r="B1314" s="1451" t="s">
        <v>669</v>
      </c>
      <c r="C1314" s="966" t="str">
        <f t="shared" si="254"/>
        <v xml:space="preserve"> </v>
      </c>
      <c r="D1314" s="1411">
        <v>1</v>
      </c>
      <c r="E1314" s="976"/>
      <c r="F1314" s="988" t="str">
        <f>VLOOKUP($B1314,DG!A:D,DG!$C$2,)&amp;"-Fe8x100 nhuùng keõm"</f>
        <v>Cổ dê Ø 195 nẹp trụ-Fe8x100 nhuùng keõm</v>
      </c>
      <c r="G1314" s="976" t="str">
        <f>VLOOKUP($B1314,DG!A:D,DG!$D$2,)</f>
        <v>bộ</v>
      </c>
      <c r="H1314" s="1689">
        <f t="shared" ref="H1314:N1323" si="259">H$1313*$D1314</f>
        <v>0</v>
      </c>
      <c r="I1314" s="1689">
        <f t="shared" si="259"/>
        <v>0</v>
      </c>
      <c r="J1314" s="1689">
        <f t="shared" si="259"/>
        <v>0</v>
      </c>
      <c r="K1314" s="1689">
        <f t="shared" si="259"/>
        <v>0</v>
      </c>
      <c r="L1314" s="1689">
        <f t="shared" si="259"/>
        <v>0</v>
      </c>
      <c r="M1314" s="1689">
        <f t="shared" si="259"/>
        <v>0</v>
      </c>
      <c r="N1314" s="1689">
        <f t="shared" si="259"/>
        <v>0</v>
      </c>
      <c r="O1314" s="1689"/>
      <c r="P1314" s="1689"/>
      <c r="Q1314" s="985"/>
      <c r="R1314" s="985"/>
      <c r="S1314" s="985"/>
      <c r="T1314" s="1858">
        <f t="shared" si="253"/>
        <v>0</v>
      </c>
    </row>
    <row r="1315" spans="1:20" ht="22.2" hidden="1" customHeight="1">
      <c r="A1315" s="1444">
        <f>COUNTIF($C$12:C1315,"x")</f>
        <v>41</v>
      </c>
      <c r="B1315" s="1451" t="s">
        <v>111</v>
      </c>
      <c r="C1315" s="966" t="str">
        <f t="shared" si="254"/>
        <v xml:space="preserve"> </v>
      </c>
      <c r="D1315" s="1411">
        <v>1</v>
      </c>
      <c r="E1315" s="976"/>
      <c r="F1315" s="988" t="str">
        <f>VLOOKUP($B1315,DG!A:D,DG!$C$2,)</f>
        <v>Sứ chằng</v>
      </c>
      <c r="G1315" s="976" t="str">
        <f>VLOOKUP($B1315,DG!A:D,DG!$D$2,)</f>
        <v>cái</v>
      </c>
      <c r="H1315" s="1689">
        <f t="shared" si="259"/>
        <v>0</v>
      </c>
      <c r="I1315" s="1689">
        <f t="shared" si="259"/>
        <v>0</v>
      </c>
      <c r="J1315" s="1689">
        <f t="shared" si="259"/>
        <v>0</v>
      </c>
      <c r="K1315" s="1689">
        <f t="shared" si="259"/>
        <v>0</v>
      </c>
      <c r="L1315" s="1689">
        <f t="shared" si="259"/>
        <v>0</v>
      </c>
      <c r="M1315" s="1689">
        <f t="shared" si="259"/>
        <v>0</v>
      </c>
      <c r="N1315" s="1689">
        <f t="shared" si="259"/>
        <v>0</v>
      </c>
      <c r="O1315" s="1689"/>
      <c r="P1315" s="1689"/>
      <c r="Q1315" s="985"/>
      <c r="R1315" s="985"/>
      <c r="S1315" s="985"/>
      <c r="T1315" s="1858">
        <f t="shared" si="253"/>
        <v>0</v>
      </c>
    </row>
    <row r="1316" spans="1:20" ht="22.2" hidden="1" customHeight="1">
      <c r="A1316" s="1444">
        <f>COUNTIF($C$12:C1316,"x")</f>
        <v>41</v>
      </c>
      <c r="B1316" s="1451" t="s">
        <v>1578</v>
      </c>
      <c r="C1316" s="966" t="str">
        <f t="shared" si="254"/>
        <v xml:space="preserve"> </v>
      </c>
      <c r="D1316" s="1411">
        <v>8</v>
      </c>
      <c r="E1316" s="976"/>
      <c r="F1316" s="988" t="str">
        <f>VLOOKUP($B1316,DG!A:D,DG!$C$2,)</f>
        <v>Kẹp cáp 3 boulon</v>
      </c>
      <c r="G1316" s="976" t="str">
        <f>VLOOKUP($B1316,DG!A:D,DG!$D$2,)</f>
        <v>cái</v>
      </c>
      <c r="H1316" s="1689">
        <f t="shared" si="259"/>
        <v>0</v>
      </c>
      <c r="I1316" s="1689">
        <f t="shared" si="259"/>
        <v>0</v>
      </c>
      <c r="J1316" s="1689">
        <f t="shared" si="259"/>
        <v>0</v>
      </c>
      <c r="K1316" s="1689">
        <f t="shared" si="259"/>
        <v>0</v>
      </c>
      <c r="L1316" s="1689">
        <f t="shared" si="259"/>
        <v>0</v>
      </c>
      <c r="M1316" s="1689">
        <f t="shared" si="259"/>
        <v>0</v>
      </c>
      <c r="N1316" s="1689">
        <f t="shared" si="259"/>
        <v>0</v>
      </c>
      <c r="O1316" s="1689"/>
      <c r="P1316" s="1689"/>
      <c r="Q1316" s="985"/>
      <c r="R1316" s="985"/>
      <c r="S1316" s="985"/>
      <c r="T1316" s="1858">
        <f t="shared" si="253"/>
        <v>0</v>
      </c>
    </row>
    <row r="1317" spans="1:20" ht="22.2" hidden="1" customHeight="1">
      <c r="A1317" s="1444">
        <f>COUNTIF($C$12:C1317,"x")</f>
        <v>41</v>
      </c>
      <c r="B1317" s="1466" t="s">
        <v>1049</v>
      </c>
      <c r="C1317" s="966" t="str">
        <f t="shared" si="254"/>
        <v xml:space="preserve"> </v>
      </c>
      <c r="D1317" s="1411">
        <v>13</v>
      </c>
      <c r="E1317" s="976"/>
      <c r="F1317" s="988" t="str">
        <f>VLOOKUP($B1317,DG!A:D,DG!$C$2,)</f>
        <v>Kẹp hotline 4/0</v>
      </c>
      <c r="G1317" s="976" t="str">
        <f>VLOOKUP($B1317,DG!A:D,DG!$D$2,)</f>
        <v>cái</v>
      </c>
      <c r="H1317" s="1689">
        <f t="shared" si="259"/>
        <v>0</v>
      </c>
      <c r="I1317" s="1689">
        <f t="shared" si="259"/>
        <v>0</v>
      </c>
      <c r="J1317" s="1689">
        <f t="shared" si="259"/>
        <v>0</v>
      </c>
      <c r="K1317" s="1689">
        <f t="shared" si="259"/>
        <v>0</v>
      </c>
      <c r="L1317" s="1689">
        <f t="shared" si="259"/>
        <v>0</v>
      </c>
      <c r="M1317" s="1689">
        <f t="shared" si="259"/>
        <v>0</v>
      </c>
      <c r="N1317" s="1689">
        <f t="shared" si="259"/>
        <v>0</v>
      </c>
      <c r="O1317" s="1689"/>
      <c r="P1317" s="1689"/>
      <c r="Q1317" s="985"/>
      <c r="R1317" s="985"/>
      <c r="S1317" s="985"/>
      <c r="T1317" s="1858">
        <f t="shared" si="253"/>
        <v>0</v>
      </c>
    </row>
    <row r="1318" spans="1:20" ht="22.2" hidden="1" customHeight="1">
      <c r="A1318" s="1444">
        <f>COUNTIF($C$12:C1318,"x")</f>
        <v>41</v>
      </c>
      <c r="B1318" s="1451" t="s">
        <v>607</v>
      </c>
      <c r="C1318" s="966" t="str">
        <f t="shared" si="254"/>
        <v xml:space="preserve"> </v>
      </c>
      <c r="D1318" s="1411">
        <v>1</v>
      </c>
      <c r="E1318" s="976"/>
      <c r="F1318" s="988" t="str">
        <f>VLOOKUP($B1318,DG!A:D,DG!$C$2,)</f>
        <v>Bộ chống chằng hẹp Ø60/50x1500+2BL12x40+BL16x250/80</v>
      </c>
      <c r="G1318" s="976" t="str">
        <f>VLOOKUP($B1318,DG!A:D,DG!$D$2,)</f>
        <v>bộ</v>
      </c>
      <c r="H1318" s="1689">
        <f t="shared" si="259"/>
        <v>0</v>
      </c>
      <c r="I1318" s="1689">
        <f t="shared" si="259"/>
        <v>0</v>
      </c>
      <c r="J1318" s="1689">
        <f t="shared" si="259"/>
        <v>0</v>
      </c>
      <c r="K1318" s="1689">
        <f t="shared" si="259"/>
        <v>0</v>
      </c>
      <c r="L1318" s="1689">
        <f t="shared" si="259"/>
        <v>0</v>
      </c>
      <c r="M1318" s="1689">
        <f t="shared" si="259"/>
        <v>0</v>
      </c>
      <c r="N1318" s="1689">
        <f t="shared" si="259"/>
        <v>0</v>
      </c>
      <c r="O1318" s="1689"/>
      <c r="P1318" s="1689"/>
      <c r="Q1318" s="985"/>
      <c r="R1318" s="985"/>
      <c r="S1318" s="985"/>
      <c r="T1318" s="1858">
        <f t="shared" si="253"/>
        <v>0</v>
      </c>
    </row>
    <row r="1319" spans="1:20" ht="22.2" hidden="1" customHeight="1">
      <c r="A1319" s="1444">
        <f>COUNTIF($C$12:C1319,"x")</f>
        <v>41</v>
      </c>
      <c r="B1319" s="1451" t="s">
        <v>279</v>
      </c>
      <c r="C1319" s="966" t="str">
        <f t="shared" si="254"/>
        <v xml:space="preserve"> </v>
      </c>
      <c r="D1319" s="1411">
        <v>2</v>
      </c>
      <c r="E1319" s="976"/>
      <c r="F1319" s="988" t="str">
        <f>VLOOKUP($B1319,DG!A:D,DG!$C$2,)</f>
        <v>Sắt dẹt 60 x 6</v>
      </c>
      <c r="G1319" s="976" t="str">
        <f>VLOOKUP($B1319,DG!A:D,DG!$D$2,)</f>
        <v>kg</v>
      </c>
      <c r="H1319" s="1689">
        <f t="shared" si="259"/>
        <v>0</v>
      </c>
      <c r="I1319" s="1689">
        <f t="shared" si="259"/>
        <v>0</v>
      </c>
      <c r="J1319" s="1689">
        <f t="shared" si="259"/>
        <v>0</v>
      </c>
      <c r="K1319" s="1689">
        <f t="shared" si="259"/>
        <v>0</v>
      </c>
      <c r="L1319" s="1689">
        <f t="shared" si="259"/>
        <v>0</v>
      </c>
      <c r="M1319" s="1689">
        <f t="shared" si="259"/>
        <v>0</v>
      </c>
      <c r="N1319" s="1689">
        <f t="shared" si="259"/>
        <v>0</v>
      </c>
      <c r="O1319" s="1689"/>
      <c r="P1319" s="1689"/>
      <c r="Q1319" s="985"/>
      <c r="R1319" s="985"/>
      <c r="S1319" s="985"/>
      <c r="T1319" s="1858">
        <f t="shared" si="253"/>
        <v>0</v>
      </c>
    </row>
    <row r="1320" spans="1:20" ht="22.2" hidden="1" customHeight="1">
      <c r="A1320" s="1444">
        <f>COUNTIF($C$12:C1320,"x")</f>
        <v>41</v>
      </c>
      <c r="B1320" s="1451" t="s">
        <v>1371</v>
      </c>
      <c r="C1320" s="966" t="str">
        <f t="shared" si="254"/>
        <v xml:space="preserve"> </v>
      </c>
      <c r="D1320" s="1411">
        <v>1</v>
      </c>
      <c r="E1320" s="976"/>
      <c r="F1320" s="988" t="str">
        <f>VLOOKUP($B1320,DG!A:D,DG!$C$2,)</f>
        <v xml:space="preserve">Móc treo chữ U </v>
      </c>
      <c r="G1320" s="976" t="str">
        <f>VLOOKUP($B1320,DG!A:D,DG!$D$2,)</f>
        <v>cái</v>
      </c>
      <c r="H1320" s="1689">
        <f t="shared" si="259"/>
        <v>0</v>
      </c>
      <c r="I1320" s="1689">
        <f t="shared" si="259"/>
        <v>0</v>
      </c>
      <c r="J1320" s="1689">
        <f t="shared" si="259"/>
        <v>0</v>
      </c>
      <c r="K1320" s="1689">
        <f t="shared" si="259"/>
        <v>0</v>
      </c>
      <c r="L1320" s="1689">
        <f t="shared" si="259"/>
        <v>0</v>
      </c>
      <c r="M1320" s="1689">
        <f t="shared" si="259"/>
        <v>0</v>
      </c>
      <c r="N1320" s="1689">
        <f t="shared" si="259"/>
        <v>0</v>
      </c>
      <c r="O1320" s="1689"/>
      <c r="P1320" s="1689"/>
      <c r="Q1320" s="985"/>
      <c r="R1320" s="985"/>
      <c r="S1320" s="985"/>
      <c r="T1320" s="1858">
        <f t="shared" si="253"/>
        <v>0</v>
      </c>
    </row>
    <row r="1321" spans="1:20" ht="22.2" hidden="1" customHeight="1">
      <c r="A1321" s="1444">
        <f>COUNTIF($C$12:C1321,"x")</f>
        <v>41</v>
      </c>
      <c r="B1321" s="1467" t="s">
        <v>1891</v>
      </c>
      <c r="C1321" s="966" t="str">
        <f t="shared" si="254"/>
        <v xml:space="preserve"> </v>
      </c>
      <c r="D1321" s="1411">
        <v>2</v>
      </c>
      <c r="E1321" s="976"/>
      <c r="F1321" s="988" t="str">
        <f>VLOOKUP($B1321,DG!A:D,DG!$C$2,)</f>
        <v>Boulon 16x100VRS+ 4 long đền vuông D18-50x50x3/Zn</v>
      </c>
      <c r="G1321" s="976" t="str">
        <f>VLOOKUP($B1321,DG!A:D,DG!$D$2,)</f>
        <v>bộ</v>
      </c>
      <c r="H1321" s="1689">
        <f t="shared" si="259"/>
        <v>0</v>
      </c>
      <c r="I1321" s="1689">
        <f t="shared" si="259"/>
        <v>0</v>
      </c>
      <c r="J1321" s="1689">
        <f t="shared" si="259"/>
        <v>0</v>
      </c>
      <c r="K1321" s="1689">
        <f t="shared" si="259"/>
        <v>0</v>
      </c>
      <c r="L1321" s="1689">
        <f t="shared" si="259"/>
        <v>0</v>
      </c>
      <c r="M1321" s="1689">
        <f t="shared" si="259"/>
        <v>0</v>
      </c>
      <c r="N1321" s="1689">
        <f t="shared" si="259"/>
        <v>0</v>
      </c>
      <c r="O1321" s="1689"/>
      <c r="P1321" s="1689"/>
      <c r="Q1321" s="985"/>
      <c r="R1321" s="985"/>
      <c r="S1321" s="985"/>
      <c r="T1321" s="1858">
        <f t="shared" si="253"/>
        <v>0</v>
      </c>
    </row>
    <row r="1322" spans="1:20" ht="22.2" hidden="1" customHeight="1">
      <c r="A1322" s="1444">
        <f>COUNTIF($C$12:C1322,"x")</f>
        <v>41</v>
      </c>
      <c r="B1322" s="1451" t="s">
        <v>2000</v>
      </c>
      <c r="C1322" s="966" t="str">
        <f t="shared" si="254"/>
        <v xml:space="preserve"> </v>
      </c>
      <c r="D1322" s="1411">
        <v>2</v>
      </c>
      <c r="E1322" s="976"/>
      <c r="F1322" s="988" t="str">
        <f>VLOOKUP($B1322,DG!A:D,DG!$C$2,)</f>
        <v>Yếm cáp dày 2mm</v>
      </c>
      <c r="G1322" s="976" t="str">
        <f>VLOOKUP($B1322,DG!A:D,DG!$D$2,)</f>
        <v>cái</v>
      </c>
      <c r="H1322" s="1689">
        <f t="shared" si="259"/>
        <v>0</v>
      </c>
      <c r="I1322" s="1689">
        <f t="shared" si="259"/>
        <v>0</v>
      </c>
      <c r="J1322" s="1689">
        <f t="shared" si="259"/>
        <v>0</v>
      </c>
      <c r="K1322" s="1689">
        <f t="shared" si="259"/>
        <v>0</v>
      </c>
      <c r="L1322" s="1689">
        <f t="shared" si="259"/>
        <v>0</v>
      </c>
      <c r="M1322" s="1689">
        <f t="shared" si="259"/>
        <v>0</v>
      </c>
      <c r="N1322" s="1689">
        <f t="shared" si="259"/>
        <v>0</v>
      </c>
      <c r="O1322" s="1689"/>
      <c r="P1322" s="1689"/>
      <c r="Q1322" s="985"/>
      <c r="R1322" s="985"/>
      <c r="S1322" s="985"/>
      <c r="T1322" s="1858">
        <f t="shared" si="253"/>
        <v>0</v>
      </c>
    </row>
    <row r="1323" spans="1:20" ht="22.2" hidden="1" customHeight="1">
      <c r="A1323" s="1444">
        <f>COUNTIF($C$12:C1323,"x")</f>
        <v>41</v>
      </c>
      <c r="B1323" s="1451" t="s">
        <v>2001</v>
      </c>
      <c r="C1323" s="966" t="str">
        <f t="shared" si="254"/>
        <v xml:space="preserve"> </v>
      </c>
      <c r="D1323" s="1411">
        <v>1</v>
      </c>
      <c r="E1323" s="976"/>
      <c r="F1323" s="988" t="str">
        <f>VLOOKUP($B1323,DG!A:D,DG!$C$2,)</f>
        <v>Máng che dây chằng dày 1,6mm</v>
      </c>
      <c r="G1323" s="976" t="str">
        <f>VLOOKUP($B1323,DG!A:D,DG!$D$2,)</f>
        <v>cái</v>
      </c>
      <c r="H1323" s="1689">
        <f t="shared" si="259"/>
        <v>0</v>
      </c>
      <c r="I1323" s="1689">
        <f t="shared" si="259"/>
        <v>0</v>
      </c>
      <c r="J1323" s="1689">
        <f t="shared" si="259"/>
        <v>0</v>
      </c>
      <c r="K1323" s="1689">
        <f t="shared" si="259"/>
        <v>0</v>
      </c>
      <c r="L1323" s="1689">
        <f t="shared" si="259"/>
        <v>0</v>
      </c>
      <c r="M1323" s="1689">
        <f t="shared" si="259"/>
        <v>0</v>
      </c>
      <c r="N1323" s="1689">
        <f t="shared" si="259"/>
        <v>0</v>
      </c>
      <c r="O1323" s="1689"/>
      <c r="P1323" s="1689"/>
      <c r="Q1323" s="985"/>
      <c r="R1323" s="985"/>
      <c r="S1323" s="985"/>
      <c r="T1323" s="1858">
        <f t="shared" si="253"/>
        <v>0</v>
      </c>
    </row>
    <row r="1324" spans="1:20" ht="22.2" hidden="1" customHeight="1">
      <c r="A1324" s="1444">
        <f>COUNTIF($C$12:C1324,"x")</f>
        <v>41</v>
      </c>
      <c r="B1324" s="1451" t="s">
        <v>1918</v>
      </c>
      <c r="C1324" s="966" t="str">
        <f t="shared" si="254"/>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3"/>
        <v>0</v>
      </c>
    </row>
    <row r="1325" spans="1:20" ht="22.2" hidden="1" customHeight="1">
      <c r="A1325" s="1444">
        <f>COUNTIF($C$12:C1325,"x")</f>
        <v>41</v>
      </c>
      <c r="B1325" s="1451" t="s">
        <v>681</v>
      </c>
      <c r="C1325" s="966" t="str">
        <f t="shared" si="254"/>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3"/>
        <v>0</v>
      </c>
    </row>
    <row r="1326" spans="1:20" ht="22.2" hidden="1" customHeight="1">
      <c r="A1326" s="1444">
        <f>COUNTIF($C$12:C1326,"x")</f>
        <v>41</v>
      </c>
      <c r="B1326" s="1451" t="s">
        <v>1906</v>
      </c>
      <c r="C1326" s="966" t="str">
        <f t="shared" si="254"/>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3"/>
        <v>0</v>
      </c>
    </row>
    <row r="1327" spans="1:20" ht="22.2" hidden="1" customHeight="1">
      <c r="A1327" s="1444">
        <f>COUNTIF($C$12:C1327,"x")</f>
        <v>41</v>
      </c>
      <c r="B1327" s="1460" t="s">
        <v>356</v>
      </c>
      <c r="C1327" s="966" t="str">
        <f t="shared" si="254"/>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3"/>
        <v>0</v>
      </c>
    </row>
    <row r="1328" spans="1:20" ht="22.2" hidden="1" customHeight="1">
      <c r="A1328" s="1444">
        <f>COUNTIF($C$12:C1328,"x")</f>
        <v>41</v>
      </c>
      <c r="B1328" s="1448" t="s">
        <v>1088</v>
      </c>
      <c r="C1328" s="966" t="str">
        <f t="shared" si="254"/>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2" hidden="1" customHeight="1">
      <c r="A1329" s="1444">
        <f>COUNTIF($C$12:C1329,"x")</f>
        <v>41</v>
      </c>
      <c r="B1329" s="1451" t="s">
        <v>669</v>
      </c>
      <c r="C1329" s="966" t="str">
        <f t="shared" si="254"/>
        <v xml:space="preserve"> </v>
      </c>
      <c r="D1329" s="1411">
        <v>1</v>
      </c>
      <c r="E1329" s="976"/>
      <c r="F1329" s="988" t="str">
        <f>VLOOKUP($B1329,DG!A:D,DG!$C$2,)&amp;"-Fe8x100 nhuùng keõm"</f>
        <v>Cổ dê Ø 195 nẹp trụ-Fe8x100 nhuùng keõm</v>
      </c>
      <c r="G1329" s="976" t="str">
        <f>VLOOKUP($B1329,DG!A:D,DG!$D$2,)</f>
        <v>bộ</v>
      </c>
      <c r="H1329" s="1689">
        <f t="shared" ref="H1329:N1329" si="260">H$1328*$D1329</f>
        <v>0</v>
      </c>
      <c r="I1329" s="1689">
        <f t="shared" si="260"/>
        <v>0</v>
      </c>
      <c r="J1329" s="1689">
        <f t="shared" si="260"/>
        <v>0</v>
      </c>
      <c r="K1329" s="1689">
        <f t="shared" si="260"/>
        <v>0</v>
      </c>
      <c r="L1329" s="1689">
        <f t="shared" si="260"/>
        <v>0</v>
      </c>
      <c r="M1329" s="1689">
        <f t="shared" si="260"/>
        <v>0</v>
      </c>
      <c r="N1329" s="1689">
        <f t="shared" si="260"/>
        <v>0</v>
      </c>
      <c r="O1329" s="1689"/>
      <c r="P1329" s="1689"/>
      <c r="Q1329" s="985"/>
      <c r="R1329" s="985"/>
      <c r="S1329" s="985"/>
      <c r="T1329" s="1858">
        <f t="shared" si="253"/>
        <v>0</v>
      </c>
    </row>
    <row r="1330" spans="1:20" ht="22.2" hidden="1" customHeight="1">
      <c r="A1330" s="1444">
        <f>COUNTIF($C$12:C1330,"x")</f>
        <v>41</v>
      </c>
      <c r="B1330" s="1451" t="s">
        <v>1466</v>
      </c>
      <c r="C1330" s="966" t="str">
        <f t="shared" si="254"/>
        <v xml:space="preserve"> </v>
      </c>
      <c r="D1330" s="1411">
        <v>1</v>
      </c>
      <c r="E1330" s="976"/>
      <c r="F1330" s="988" t="str">
        <f>VLOOKUP($B1330,DG!A:D,DG!$C$2,)&amp;"-Fe8x100 nhuùng keõm"</f>
        <v>Cổ dê Ø 220 nẹp trụ-Fe8x100 nhuùng keõm</v>
      </c>
      <c r="G1330" s="976" t="str">
        <f>VLOOKUP($B1330,DG!A:D,DG!$D$2,)</f>
        <v>bộ</v>
      </c>
      <c r="H1330" s="1689">
        <f t="shared" ref="H1330:N1330" si="261">H$1371*$D1330</f>
        <v>0</v>
      </c>
      <c r="I1330" s="1689">
        <f t="shared" si="261"/>
        <v>0</v>
      </c>
      <c r="J1330" s="1689">
        <f t="shared" si="261"/>
        <v>0</v>
      </c>
      <c r="K1330" s="1689">
        <f t="shared" si="261"/>
        <v>0</v>
      </c>
      <c r="L1330" s="1689">
        <f t="shared" si="261"/>
        <v>0</v>
      </c>
      <c r="M1330" s="1689">
        <f t="shared" si="261"/>
        <v>0</v>
      </c>
      <c r="N1330" s="1689">
        <f t="shared" si="261"/>
        <v>0</v>
      </c>
      <c r="O1330" s="1689"/>
      <c r="P1330" s="1689"/>
      <c r="Q1330" s="985"/>
      <c r="R1330" s="985"/>
      <c r="S1330" s="985"/>
      <c r="T1330" s="1858">
        <f t="shared" si="253"/>
        <v>0</v>
      </c>
    </row>
    <row r="1331" spans="1:20" ht="22.2" hidden="1" customHeight="1">
      <c r="A1331" s="1444">
        <f>COUNTIF($C$12:C1331,"x")</f>
        <v>41</v>
      </c>
      <c r="B1331" s="1451" t="s">
        <v>111</v>
      </c>
      <c r="C1331" s="966" t="str">
        <f t="shared" si="254"/>
        <v xml:space="preserve"> </v>
      </c>
      <c r="D1331" s="1411">
        <v>2</v>
      </c>
      <c r="E1331" s="976"/>
      <c r="F1331" s="988" t="str">
        <f>VLOOKUP($B1331,DG!A:D,DG!$C$2,)</f>
        <v>Sứ chằng</v>
      </c>
      <c r="G1331" s="976" t="str">
        <f>VLOOKUP($B1331,DG!A:D,DG!$D$2,)</f>
        <v>cái</v>
      </c>
      <c r="H1331" s="1689">
        <f t="shared" ref="H1331:N1338" si="262">H$1328*$D1331</f>
        <v>0</v>
      </c>
      <c r="I1331" s="1689">
        <f t="shared" si="262"/>
        <v>0</v>
      </c>
      <c r="J1331" s="1689">
        <f t="shared" si="262"/>
        <v>0</v>
      </c>
      <c r="K1331" s="1689">
        <f t="shared" si="262"/>
        <v>0</v>
      </c>
      <c r="L1331" s="1689">
        <f t="shared" si="262"/>
        <v>0</v>
      </c>
      <c r="M1331" s="1689">
        <f t="shared" si="262"/>
        <v>0</v>
      </c>
      <c r="N1331" s="1689">
        <f t="shared" si="262"/>
        <v>0</v>
      </c>
      <c r="O1331" s="1689"/>
      <c r="P1331" s="1689"/>
      <c r="Q1331" s="985"/>
      <c r="R1331" s="985"/>
      <c r="S1331" s="985"/>
      <c r="T1331" s="1858">
        <f t="shared" si="253"/>
        <v>0</v>
      </c>
    </row>
    <row r="1332" spans="1:20" ht="22.2" hidden="1" customHeight="1">
      <c r="A1332" s="1444">
        <f>COUNTIF($C$12:C1332,"x")</f>
        <v>41</v>
      </c>
      <c r="B1332" s="1451" t="s">
        <v>1578</v>
      </c>
      <c r="C1332" s="966" t="str">
        <f t="shared" si="254"/>
        <v xml:space="preserve"> </v>
      </c>
      <c r="D1332" s="1411">
        <v>16</v>
      </c>
      <c r="E1332" s="976"/>
      <c r="F1332" s="988" t="str">
        <f>VLOOKUP($B1332,DG!A:D,DG!$C$2,)</f>
        <v>Kẹp cáp 3 boulon</v>
      </c>
      <c r="G1332" s="976" t="str">
        <f>VLOOKUP($B1332,DG!A:D,DG!$D$2,)</f>
        <v>cái</v>
      </c>
      <c r="H1332" s="1689">
        <f t="shared" si="262"/>
        <v>0</v>
      </c>
      <c r="I1332" s="1689">
        <f t="shared" si="262"/>
        <v>0</v>
      </c>
      <c r="J1332" s="1689">
        <f t="shared" si="262"/>
        <v>0</v>
      </c>
      <c r="K1332" s="1689">
        <f t="shared" si="262"/>
        <v>0</v>
      </c>
      <c r="L1332" s="1689">
        <f t="shared" si="262"/>
        <v>0</v>
      </c>
      <c r="M1332" s="1689">
        <f t="shared" si="262"/>
        <v>0</v>
      </c>
      <c r="N1332" s="1689">
        <f t="shared" si="262"/>
        <v>0</v>
      </c>
      <c r="O1332" s="1689"/>
      <c r="P1332" s="1689"/>
      <c r="Q1332" s="985"/>
      <c r="R1332" s="985"/>
      <c r="S1332" s="985"/>
      <c r="T1332" s="1858">
        <f t="shared" si="253"/>
        <v>0</v>
      </c>
    </row>
    <row r="1333" spans="1:20" ht="22.2" hidden="1" customHeight="1">
      <c r="A1333" s="1444">
        <f>COUNTIF($C$12:C1333,"x")</f>
        <v>41</v>
      </c>
      <c r="B1333" s="1466" t="s">
        <v>1049</v>
      </c>
      <c r="C1333" s="966" t="str">
        <f t="shared" si="254"/>
        <v xml:space="preserve"> </v>
      </c>
      <c r="D1333" s="1411">
        <v>30</v>
      </c>
      <c r="E1333" s="976"/>
      <c r="F1333" s="988" t="str">
        <f>VLOOKUP($B1333,DG!A:D,DG!$C$2,)</f>
        <v>Kẹp hotline 4/0</v>
      </c>
      <c r="G1333" s="976" t="str">
        <f>VLOOKUP($B1333,DG!A:D,DG!$D$2,)</f>
        <v>cái</v>
      </c>
      <c r="H1333" s="1689">
        <f t="shared" si="262"/>
        <v>0</v>
      </c>
      <c r="I1333" s="1689">
        <f t="shared" si="262"/>
        <v>0</v>
      </c>
      <c r="J1333" s="1689">
        <f t="shared" si="262"/>
        <v>0</v>
      </c>
      <c r="K1333" s="1689">
        <f t="shared" si="262"/>
        <v>0</v>
      </c>
      <c r="L1333" s="1689">
        <f t="shared" si="262"/>
        <v>0</v>
      </c>
      <c r="M1333" s="1689">
        <f t="shared" si="262"/>
        <v>0</v>
      </c>
      <c r="N1333" s="1689">
        <f t="shared" si="262"/>
        <v>0</v>
      </c>
      <c r="O1333" s="1689"/>
      <c r="P1333" s="1689"/>
      <c r="Q1333" s="985"/>
      <c r="R1333" s="985"/>
      <c r="S1333" s="985"/>
      <c r="T1333" s="1858">
        <f t="shared" si="253"/>
        <v>0</v>
      </c>
    </row>
    <row r="1334" spans="1:20" ht="22.2" hidden="1" customHeight="1">
      <c r="A1334" s="1444">
        <f>COUNTIF($C$12:C1334,"x")</f>
        <v>41</v>
      </c>
      <c r="B1334" s="1451" t="s">
        <v>279</v>
      </c>
      <c r="C1334" s="966" t="str">
        <f t="shared" si="254"/>
        <v xml:space="preserve"> </v>
      </c>
      <c r="D1334" s="1411">
        <v>4</v>
      </c>
      <c r="E1334" s="976"/>
      <c r="F1334" s="988" t="str">
        <f>VLOOKUP($B1334,DG!A:D,DG!$C$2,)</f>
        <v>Sắt dẹt 60 x 6</v>
      </c>
      <c r="G1334" s="976" t="str">
        <f>VLOOKUP($B1334,DG!A:D,DG!$D$2,)</f>
        <v>kg</v>
      </c>
      <c r="H1334" s="1689">
        <f t="shared" si="262"/>
        <v>0</v>
      </c>
      <c r="I1334" s="1689">
        <f t="shared" si="262"/>
        <v>0</v>
      </c>
      <c r="J1334" s="1689">
        <f t="shared" si="262"/>
        <v>0</v>
      </c>
      <c r="K1334" s="1689">
        <f t="shared" si="262"/>
        <v>0</v>
      </c>
      <c r="L1334" s="1689">
        <f t="shared" si="262"/>
        <v>0</v>
      </c>
      <c r="M1334" s="1689">
        <f t="shared" si="262"/>
        <v>0</v>
      </c>
      <c r="N1334" s="1689">
        <f t="shared" si="262"/>
        <v>0</v>
      </c>
      <c r="O1334" s="1689"/>
      <c r="P1334" s="1689"/>
      <c r="Q1334" s="985"/>
      <c r="R1334" s="985"/>
      <c r="S1334" s="985"/>
      <c r="T1334" s="1858">
        <f t="shared" si="253"/>
        <v>0</v>
      </c>
    </row>
    <row r="1335" spans="1:20" ht="22.2" hidden="1" customHeight="1">
      <c r="A1335" s="1444">
        <f>COUNTIF($C$12:C1335,"x")</f>
        <v>41</v>
      </c>
      <c r="B1335" s="1451" t="s">
        <v>1371</v>
      </c>
      <c r="C1335" s="966" t="str">
        <f t="shared" si="254"/>
        <v xml:space="preserve"> </v>
      </c>
      <c r="D1335" s="1411">
        <v>2</v>
      </c>
      <c r="E1335" s="976"/>
      <c r="F1335" s="988" t="str">
        <f>VLOOKUP($B1335,DG!A:D,DG!$C$2,)</f>
        <v xml:space="preserve">Móc treo chữ U </v>
      </c>
      <c r="G1335" s="976" t="str">
        <f>VLOOKUP($B1335,DG!A:D,DG!$D$2,)</f>
        <v>cái</v>
      </c>
      <c r="H1335" s="1689">
        <f t="shared" si="262"/>
        <v>0</v>
      </c>
      <c r="I1335" s="1689">
        <f t="shared" si="262"/>
        <v>0</v>
      </c>
      <c r="J1335" s="1689">
        <f t="shared" si="262"/>
        <v>0</v>
      </c>
      <c r="K1335" s="1689">
        <f t="shared" si="262"/>
        <v>0</v>
      </c>
      <c r="L1335" s="1689">
        <f t="shared" si="262"/>
        <v>0</v>
      </c>
      <c r="M1335" s="1689">
        <f t="shared" si="262"/>
        <v>0</v>
      </c>
      <c r="N1335" s="1689">
        <f t="shared" si="262"/>
        <v>0</v>
      </c>
      <c r="O1335" s="1689"/>
      <c r="P1335" s="1689"/>
      <c r="Q1335" s="985"/>
      <c r="R1335" s="985"/>
      <c r="S1335" s="985"/>
      <c r="T1335" s="1858">
        <f t="shared" si="253"/>
        <v>0</v>
      </c>
    </row>
    <row r="1336" spans="1:20" ht="22.2" hidden="1" customHeight="1">
      <c r="A1336" s="1444">
        <f>COUNTIF($C$12:C1336,"x")</f>
        <v>41</v>
      </c>
      <c r="B1336" s="1467" t="s">
        <v>1891</v>
      </c>
      <c r="C1336" s="966" t="str">
        <f t="shared" si="254"/>
        <v xml:space="preserve"> </v>
      </c>
      <c r="D1336" s="1411">
        <v>4</v>
      </c>
      <c r="E1336" s="976"/>
      <c r="F1336" s="988" t="str">
        <f>VLOOKUP($B1336,DG!A:D,DG!$C$2,)</f>
        <v>Boulon 16x100VRS+ 4 long đền vuông D18-50x50x3/Zn</v>
      </c>
      <c r="G1336" s="976" t="str">
        <f>VLOOKUP($B1336,DG!A:D,DG!$D$2,)</f>
        <v>bộ</v>
      </c>
      <c r="H1336" s="1689">
        <f t="shared" si="262"/>
        <v>0</v>
      </c>
      <c r="I1336" s="1689">
        <f t="shared" si="262"/>
        <v>0</v>
      </c>
      <c r="J1336" s="1689">
        <f t="shared" si="262"/>
        <v>0</v>
      </c>
      <c r="K1336" s="1689">
        <f t="shared" si="262"/>
        <v>0</v>
      </c>
      <c r="L1336" s="1689">
        <f t="shared" si="262"/>
        <v>0</v>
      </c>
      <c r="M1336" s="1689">
        <f t="shared" si="262"/>
        <v>0</v>
      </c>
      <c r="N1336" s="1689">
        <f t="shared" si="262"/>
        <v>0</v>
      </c>
      <c r="O1336" s="1689"/>
      <c r="P1336" s="1689"/>
      <c r="Q1336" s="985"/>
      <c r="R1336" s="985"/>
      <c r="S1336" s="985"/>
      <c r="T1336" s="1858">
        <f t="shared" si="253"/>
        <v>0</v>
      </c>
    </row>
    <row r="1337" spans="1:20" ht="22.2" hidden="1" customHeight="1">
      <c r="A1337" s="1444">
        <f>COUNTIF($C$12:C1337,"x")</f>
        <v>41</v>
      </c>
      <c r="B1337" s="1451" t="s">
        <v>2000</v>
      </c>
      <c r="C1337" s="966" t="str">
        <f t="shared" si="254"/>
        <v xml:space="preserve"> </v>
      </c>
      <c r="D1337" s="1411">
        <v>4</v>
      </c>
      <c r="E1337" s="976"/>
      <c r="F1337" s="988" t="str">
        <f>VLOOKUP($B1337,DG!A:D,DG!$C$2,)</f>
        <v>Yếm cáp dày 2mm</v>
      </c>
      <c r="G1337" s="976" t="str">
        <f>VLOOKUP($B1337,DG!A:D,DG!$D$2,)</f>
        <v>cái</v>
      </c>
      <c r="H1337" s="1689">
        <f t="shared" si="262"/>
        <v>0</v>
      </c>
      <c r="I1337" s="1689">
        <f t="shared" si="262"/>
        <v>0</v>
      </c>
      <c r="J1337" s="1689">
        <f t="shared" si="262"/>
        <v>0</v>
      </c>
      <c r="K1337" s="1689">
        <f t="shared" si="262"/>
        <v>0</v>
      </c>
      <c r="L1337" s="1689">
        <f t="shared" si="262"/>
        <v>0</v>
      </c>
      <c r="M1337" s="1689">
        <f t="shared" si="262"/>
        <v>0</v>
      </c>
      <c r="N1337" s="1689">
        <f t="shared" si="262"/>
        <v>0</v>
      </c>
      <c r="O1337" s="1689"/>
      <c r="P1337" s="1689"/>
      <c r="Q1337" s="985"/>
      <c r="R1337" s="985"/>
      <c r="S1337" s="985"/>
      <c r="T1337" s="1858">
        <f t="shared" si="253"/>
        <v>0</v>
      </c>
    </row>
    <row r="1338" spans="1:20" ht="22.2" hidden="1" customHeight="1">
      <c r="A1338" s="1444">
        <f>COUNTIF($C$12:C1338,"x")</f>
        <v>41</v>
      </c>
      <c r="B1338" s="1451" t="s">
        <v>2001</v>
      </c>
      <c r="C1338" s="966" t="str">
        <f t="shared" si="254"/>
        <v xml:space="preserve"> </v>
      </c>
      <c r="D1338" s="1411">
        <v>2</v>
      </c>
      <c r="E1338" s="976"/>
      <c r="F1338" s="988" t="str">
        <f>VLOOKUP($B1338,DG!A:D,DG!$C$2,)</f>
        <v>Máng che dây chằng dày 1,6mm</v>
      </c>
      <c r="G1338" s="976" t="str">
        <f>VLOOKUP($B1338,DG!A:D,DG!$D$2,)</f>
        <v>cái</v>
      </c>
      <c r="H1338" s="1689">
        <f t="shared" si="262"/>
        <v>0</v>
      </c>
      <c r="I1338" s="1689">
        <f t="shared" si="262"/>
        <v>0</v>
      </c>
      <c r="J1338" s="1689">
        <f t="shared" si="262"/>
        <v>0</v>
      </c>
      <c r="K1338" s="1689">
        <f t="shared" si="262"/>
        <v>0</v>
      </c>
      <c r="L1338" s="1689">
        <f t="shared" si="262"/>
        <v>0</v>
      </c>
      <c r="M1338" s="1689">
        <f t="shared" si="262"/>
        <v>0</v>
      </c>
      <c r="N1338" s="1689">
        <f t="shared" si="262"/>
        <v>0</v>
      </c>
      <c r="O1338" s="1689"/>
      <c r="P1338" s="1689"/>
      <c r="Q1338" s="985"/>
      <c r="R1338" s="985"/>
      <c r="S1338" s="985"/>
      <c r="T1338" s="1858">
        <f t="shared" si="253"/>
        <v>0</v>
      </c>
    </row>
    <row r="1339" spans="1:20" ht="22.2" hidden="1" customHeight="1">
      <c r="A1339" s="1444">
        <f>COUNTIF($C$12:C1339,"x")</f>
        <v>41</v>
      </c>
      <c r="B1339" s="1451" t="s">
        <v>1918</v>
      </c>
      <c r="C1339" s="966" t="str">
        <f t="shared" si="254"/>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3"/>
        <v>0</v>
      </c>
    </row>
    <row r="1340" spans="1:20" ht="22.2" hidden="1" customHeight="1">
      <c r="A1340" s="1444">
        <f>COUNTIF($C$12:C1340,"x")</f>
        <v>41</v>
      </c>
      <c r="B1340" s="1451" t="s">
        <v>681</v>
      </c>
      <c r="C1340" s="966" t="str">
        <f t="shared" si="254"/>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3"/>
        <v>0</v>
      </c>
    </row>
    <row r="1341" spans="1:20" ht="22.2" hidden="1" customHeight="1">
      <c r="A1341" s="1444">
        <f>COUNTIF($C$12:C1341,"x")</f>
        <v>41</v>
      </c>
      <c r="B1341" s="1460" t="s">
        <v>356</v>
      </c>
      <c r="C1341" s="966" t="str">
        <f t="shared" si="254"/>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3"/>
        <v>0</v>
      </c>
    </row>
    <row r="1342" spans="1:20" ht="22.2" hidden="1" customHeight="1">
      <c r="A1342" s="1444">
        <f>COUNTIF($C$12:C1342,"x")</f>
        <v>41</v>
      </c>
      <c r="B1342" s="1448" t="s">
        <v>1809</v>
      </c>
      <c r="C1342" s="966" t="str">
        <f t="shared" si="254"/>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2" hidden="1" customHeight="1">
      <c r="A1343" s="1444">
        <f>COUNTIF($C$12:C1343,"x")</f>
        <v>41</v>
      </c>
      <c r="B1343" s="1451" t="s">
        <v>669</v>
      </c>
      <c r="C1343" s="966" t="str">
        <f t="shared" si="254"/>
        <v xml:space="preserve"> </v>
      </c>
      <c r="D1343" s="1411">
        <v>1</v>
      </c>
      <c r="E1343" s="976"/>
      <c r="F1343" s="988" t="str">
        <f>VLOOKUP($B1343,DG!A:D,DG!$C$2,)&amp;"-Fe8x100 nhuùng keõm"</f>
        <v>Cổ dê Ø 195 nẹp trụ-Fe8x100 nhuùng keõm</v>
      </c>
      <c r="G1343" s="976" t="str">
        <f>VLOOKUP($B1343,DG!A:D,DG!$D$2,)</f>
        <v>bộ</v>
      </c>
      <c r="H1343" s="1689">
        <f t="shared" ref="H1343:N1351" si="263">H$1342*$D1343</f>
        <v>0</v>
      </c>
      <c r="I1343" s="1689">
        <f t="shared" si="263"/>
        <v>0</v>
      </c>
      <c r="J1343" s="1689">
        <f t="shared" si="263"/>
        <v>0</v>
      </c>
      <c r="K1343" s="1689">
        <f t="shared" si="263"/>
        <v>0</v>
      </c>
      <c r="L1343" s="1689">
        <f t="shared" si="263"/>
        <v>0</v>
      </c>
      <c r="M1343" s="1689">
        <f t="shared" si="263"/>
        <v>0</v>
      </c>
      <c r="N1343" s="1689">
        <f t="shared" si="263"/>
        <v>0</v>
      </c>
      <c r="O1343" s="1689"/>
      <c r="P1343" s="1689"/>
      <c r="Q1343" s="985"/>
      <c r="R1343" s="985"/>
      <c r="S1343" s="985"/>
      <c r="T1343" s="1858">
        <f t="shared" ref="T1343:T1406" si="264">IFERROR(HLOOKUP(B1343,BangKeTru,3,0),0)</f>
        <v>0</v>
      </c>
    </row>
    <row r="1344" spans="1:20" ht="22.2" hidden="1" customHeight="1">
      <c r="A1344" s="1444">
        <f>COUNTIF($C$12:C1344,"x")</f>
        <v>41</v>
      </c>
      <c r="B1344" s="1451" t="s">
        <v>111</v>
      </c>
      <c r="C1344" s="966" t="str">
        <f t="shared" si="254"/>
        <v xml:space="preserve"> </v>
      </c>
      <c r="D1344" s="1411">
        <v>2</v>
      </c>
      <c r="E1344" s="976"/>
      <c r="F1344" s="988" t="str">
        <f>VLOOKUP($B1344,DG!A:D,DG!$C$2,)</f>
        <v>Sứ chằng</v>
      </c>
      <c r="G1344" s="976" t="str">
        <f>VLOOKUP($B1344,DG!A:D,DG!$D$2,)</f>
        <v>cái</v>
      </c>
      <c r="H1344" s="1689">
        <f t="shared" si="263"/>
        <v>0</v>
      </c>
      <c r="I1344" s="1689">
        <f t="shared" si="263"/>
        <v>0</v>
      </c>
      <c r="J1344" s="1689">
        <f t="shared" si="263"/>
        <v>0</v>
      </c>
      <c r="K1344" s="1689">
        <f t="shared" si="263"/>
        <v>0</v>
      </c>
      <c r="L1344" s="1689">
        <f t="shared" si="263"/>
        <v>0</v>
      </c>
      <c r="M1344" s="1689">
        <f t="shared" si="263"/>
        <v>0</v>
      </c>
      <c r="N1344" s="1689">
        <f t="shared" si="263"/>
        <v>0</v>
      </c>
      <c r="O1344" s="1689"/>
      <c r="P1344" s="1689"/>
      <c r="Q1344" s="985"/>
      <c r="R1344" s="985"/>
      <c r="S1344" s="985"/>
      <c r="T1344" s="1858">
        <f t="shared" si="264"/>
        <v>0</v>
      </c>
    </row>
    <row r="1345" spans="1:20" ht="22.2" hidden="1" customHeight="1">
      <c r="A1345" s="1444">
        <f>COUNTIF($C$12:C1345,"x")</f>
        <v>41</v>
      </c>
      <c r="B1345" s="1451" t="s">
        <v>1578</v>
      </c>
      <c r="C1345" s="966" t="str">
        <f t="shared" si="254"/>
        <v xml:space="preserve"> </v>
      </c>
      <c r="D1345" s="1411">
        <v>8</v>
      </c>
      <c r="E1345" s="976"/>
      <c r="F1345" s="988" t="str">
        <f>VLOOKUP($B1345,DG!A:D,DG!$C$2,)</f>
        <v>Kẹp cáp 3 boulon</v>
      </c>
      <c r="G1345" s="976" t="str">
        <f>VLOOKUP($B1345,DG!A:D,DG!$D$2,)</f>
        <v>cái</v>
      </c>
      <c r="H1345" s="1689">
        <f t="shared" si="263"/>
        <v>0</v>
      </c>
      <c r="I1345" s="1689">
        <f t="shared" si="263"/>
        <v>0</v>
      </c>
      <c r="J1345" s="1689">
        <f t="shared" si="263"/>
        <v>0</v>
      </c>
      <c r="K1345" s="1689">
        <f t="shared" si="263"/>
        <v>0</v>
      </c>
      <c r="L1345" s="1689">
        <f t="shared" si="263"/>
        <v>0</v>
      </c>
      <c r="M1345" s="1689">
        <f t="shared" si="263"/>
        <v>0</v>
      </c>
      <c r="N1345" s="1689">
        <f t="shared" si="263"/>
        <v>0</v>
      </c>
      <c r="O1345" s="1689"/>
      <c r="P1345" s="1689"/>
      <c r="Q1345" s="985"/>
      <c r="R1345" s="985"/>
      <c r="S1345" s="985"/>
      <c r="T1345" s="1858">
        <f t="shared" si="264"/>
        <v>0</v>
      </c>
    </row>
    <row r="1346" spans="1:20" ht="22.2" hidden="1" customHeight="1">
      <c r="A1346" s="1444">
        <f>COUNTIF($C$12:C1346,"x")</f>
        <v>41</v>
      </c>
      <c r="B1346" s="1466" t="s">
        <v>1049</v>
      </c>
      <c r="C1346" s="966" t="str">
        <f t="shared" si="254"/>
        <v xml:space="preserve"> </v>
      </c>
      <c r="D1346" s="1411">
        <v>19</v>
      </c>
      <c r="E1346" s="976"/>
      <c r="F1346" s="988" t="str">
        <f>VLOOKUP($B1346,DG!A:D,DG!$C$2,)</f>
        <v>Kẹp hotline 4/0</v>
      </c>
      <c r="G1346" s="976" t="str">
        <f>VLOOKUP($B1346,DG!A:D,DG!$D$2,)</f>
        <v>cái</v>
      </c>
      <c r="H1346" s="1689">
        <f t="shared" si="263"/>
        <v>0</v>
      </c>
      <c r="I1346" s="1689">
        <f t="shared" si="263"/>
        <v>0</v>
      </c>
      <c r="J1346" s="1689">
        <f t="shared" si="263"/>
        <v>0</v>
      </c>
      <c r="K1346" s="1689">
        <f t="shared" si="263"/>
        <v>0</v>
      </c>
      <c r="L1346" s="1689">
        <f t="shared" si="263"/>
        <v>0</v>
      </c>
      <c r="M1346" s="1689">
        <f t="shared" si="263"/>
        <v>0</v>
      </c>
      <c r="N1346" s="1689">
        <f t="shared" si="263"/>
        <v>0</v>
      </c>
      <c r="O1346" s="1689"/>
      <c r="P1346" s="1689"/>
      <c r="Q1346" s="985"/>
      <c r="R1346" s="985"/>
      <c r="S1346" s="985"/>
      <c r="T1346" s="1858">
        <f t="shared" si="264"/>
        <v>0</v>
      </c>
    </row>
    <row r="1347" spans="1:20" ht="22.2" hidden="1" customHeight="1">
      <c r="A1347" s="1444">
        <f>COUNTIF($C$12:C1347,"x")</f>
        <v>41</v>
      </c>
      <c r="B1347" s="1451" t="s">
        <v>279</v>
      </c>
      <c r="C1347" s="966" t="str">
        <f t="shared" si="254"/>
        <v xml:space="preserve"> </v>
      </c>
      <c r="D1347" s="1411">
        <v>2</v>
      </c>
      <c r="E1347" s="976"/>
      <c r="F1347" s="988" t="str">
        <f>VLOOKUP($B1347,DG!A:D,DG!$C$2,)</f>
        <v>Sắt dẹt 60 x 6</v>
      </c>
      <c r="G1347" s="976" t="str">
        <f>VLOOKUP($B1347,DG!A:D,DG!$D$2,)</f>
        <v>kg</v>
      </c>
      <c r="H1347" s="1689">
        <f t="shared" si="263"/>
        <v>0</v>
      </c>
      <c r="I1347" s="1689">
        <f t="shared" si="263"/>
        <v>0</v>
      </c>
      <c r="J1347" s="1689">
        <f t="shared" si="263"/>
        <v>0</v>
      </c>
      <c r="K1347" s="1689">
        <f t="shared" si="263"/>
        <v>0</v>
      </c>
      <c r="L1347" s="1689">
        <f t="shared" si="263"/>
        <v>0</v>
      </c>
      <c r="M1347" s="1689">
        <f t="shared" si="263"/>
        <v>0</v>
      </c>
      <c r="N1347" s="1689">
        <f t="shared" si="263"/>
        <v>0</v>
      </c>
      <c r="O1347" s="1689"/>
      <c r="P1347" s="1689"/>
      <c r="Q1347" s="985"/>
      <c r="R1347" s="985"/>
      <c r="S1347" s="985"/>
      <c r="T1347" s="1858">
        <f t="shared" si="264"/>
        <v>0</v>
      </c>
    </row>
    <row r="1348" spans="1:20" ht="22.2" hidden="1" customHeight="1">
      <c r="A1348" s="1444">
        <f>COUNTIF($C$12:C1348,"x")</f>
        <v>41</v>
      </c>
      <c r="B1348" s="1451" t="s">
        <v>1371</v>
      </c>
      <c r="C1348" s="966" t="str">
        <f t="shared" si="254"/>
        <v xml:space="preserve"> </v>
      </c>
      <c r="D1348" s="1411">
        <v>1</v>
      </c>
      <c r="E1348" s="976"/>
      <c r="F1348" s="988" t="str">
        <f>VLOOKUP($B1348,DG!A:D,DG!$C$2,)</f>
        <v xml:space="preserve">Móc treo chữ U </v>
      </c>
      <c r="G1348" s="976" t="str">
        <f>VLOOKUP($B1348,DG!A:D,DG!$D$2,)</f>
        <v>cái</v>
      </c>
      <c r="H1348" s="1689">
        <f t="shared" si="263"/>
        <v>0</v>
      </c>
      <c r="I1348" s="1689">
        <f t="shared" si="263"/>
        <v>0</v>
      </c>
      <c r="J1348" s="1689">
        <f t="shared" si="263"/>
        <v>0</v>
      </c>
      <c r="K1348" s="1689">
        <f t="shared" si="263"/>
        <v>0</v>
      </c>
      <c r="L1348" s="1689">
        <f t="shared" si="263"/>
        <v>0</v>
      </c>
      <c r="M1348" s="1689">
        <f t="shared" si="263"/>
        <v>0</v>
      </c>
      <c r="N1348" s="1689">
        <f t="shared" si="263"/>
        <v>0</v>
      </c>
      <c r="O1348" s="1689"/>
      <c r="P1348" s="1689"/>
      <c r="Q1348" s="985"/>
      <c r="R1348" s="985"/>
      <c r="S1348" s="985"/>
      <c r="T1348" s="1858">
        <f t="shared" si="264"/>
        <v>0</v>
      </c>
    </row>
    <row r="1349" spans="1:20" ht="22.2" hidden="1" customHeight="1">
      <c r="A1349" s="1444">
        <f>COUNTIF($C$12:C1349,"x")</f>
        <v>41</v>
      </c>
      <c r="B1349" s="1467" t="s">
        <v>1891</v>
      </c>
      <c r="C1349" s="966" t="str">
        <f t="shared" si="254"/>
        <v xml:space="preserve"> </v>
      </c>
      <c r="D1349" s="1411">
        <v>2</v>
      </c>
      <c r="E1349" s="976"/>
      <c r="F1349" s="988" t="str">
        <f>VLOOKUP($B1349,DG!A:D,DG!$C$2,)</f>
        <v>Boulon 16x100VRS+ 4 long đền vuông D18-50x50x3/Zn</v>
      </c>
      <c r="G1349" s="976" t="str">
        <f>VLOOKUP($B1349,DG!A:D,DG!$D$2,)</f>
        <v>bộ</v>
      </c>
      <c r="H1349" s="1689">
        <f t="shared" si="263"/>
        <v>0</v>
      </c>
      <c r="I1349" s="1689">
        <f t="shared" si="263"/>
        <v>0</v>
      </c>
      <c r="J1349" s="1689">
        <f t="shared" si="263"/>
        <v>0</v>
      </c>
      <c r="K1349" s="1689">
        <f t="shared" si="263"/>
        <v>0</v>
      </c>
      <c r="L1349" s="1689">
        <f t="shared" si="263"/>
        <v>0</v>
      </c>
      <c r="M1349" s="1689">
        <f t="shared" si="263"/>
        <v>0</v>
      </c>
      <c r="N1349" s="1689">
        <f t="shared" si="263"/>
        <v>0</v>
      </c>
      <c r="O1349" s="1689"/>
      <c r="P1349" s="1689"/>
      <c r="Q1349" s="985"/>
      <c r="R1349" s="985"/>
      <c r="S1349" s="985"/>
      <c r="T1349" s="1858">
        <f t="shared" si="264"/>
        <v>0</v>
      </c>
    </row>
    <row r="1350" spans="1:20" ht="22.2" hidden="1" customHeight="1">
      <c r="A1350" s="1444">
        <f>COUNTIF($C$12:C1350,"x")</f>
        <v>41</v>
      </c>
      <c r="B1350" s="1451" t="s">
        <v>2000</v>
      </c>
      <c r="C1350" s="966" t="str">
        <f t="shared" si="254"/>
        <v xml:space="preserve"> </v>
      </c>
      <c r="D1350" s="1411">
        <v>2</v>
      </c>
      <c r="E1350" s="976"/>
      <c r="F1350" s="988" t="str">
        <f>VLOOKUP($B1350,DG!A:D,DG!$C$2,)</f>
        <v>Yếm cáp dày 2mm</v>
      </c>
      <c r="G1350" s="976" t="str">
        <f>VLOOKUP($B1350,DG!A:D,DG!$D$2,)</f>
        <v>cái</v>
      </c>
      <c r="H1350" s="1689">
        <f t="shared" si="263"/>
        <v>0</v>
      </c>
      <c r="I1350" s="1689">
        <f t="shared" si="263"/>
        <v>0</v>
      </c>
      <c r="J1350" s="1689">
        <f t="shared" si="263"/>
        <v>0</v>
      </c>
      <c r="K1350" s="1689">
        <f t="shared" si="263"/>
        <v>0</v>
      </c>
      <c r="L1350" s="1689">
        <f t="shared" si="263"/>
        <v>0</v>
      </c>
      <c r="M1350" s="1689">
        <f t="shared" si="263"/>
        <v>0</v>
      </c>
      <c r="N1350" s="1689">
        <f t="shared" si="263"/>
        <v>0</v>
      </c>
      <c r="O1350" s="1689"/>
      <c r="P1350" s="1689"/>
      <c r="Q1350" s="985"/>
      <c r="R1350" s="985"/>
      <c r="S1350" s="985"/>
      <c r="T1350" s="1858">
        <f t="shared" si="264"/>
        <v>0</v>
      </c>
    </row>
    <row r="1351" spans="1:20" ht="22.2" hidden="1" customHeight="1">
      <c r="A1351" s="1444">
        <f>COUNTIF($C$12:C1351,"x")</f>
        <v>41</v>
      </c>
      <c r="B1351" s="1451" t="s">
        <v>2001</v>
      </c>
      <c r="C1351" s="966" t="str">
        <f t="shared" ref="C1351:C1414" si="265">IF(OR(P1351&lt;&gt;0,H1351&lt;&gt;0),"x"," ")</f>
        <v xml:space="preserve"> </v>
      </c>
      <c r="D1351" s="1411">
        <v>1</v>
      </c>
      <c r="E1351" s="976"/>
      <c r="F1351" s="988" t="str">
        <f>VLOOKUP($B1351,DG!A:D,DG!$C$2,)</f>
        <v>Máng che dây chằng dày 1,6mm</v>
      </c>
      <c r="G1351" s="976" t="str">
        <f>VLOOKUP($B1351,DG!A:D,DG!$D$2,)</f>
        <v>cái</v>
      </c>
      <c r="H1351" s="1689">
        <f t="shared" si="263"/>
        <v>0</v>
      </c>
      <c r="I1351" s="1689">
        <f t="shared" si="263"/>
        <v>0</v>
      </c>
      <c r="J1351" s="1689">
        <f t="shared" si="263"/>
        <v>0</v>
      </c>
      <c r="K1351" s="1689">
        <f t="shared" si="263"/>
        <v>0</v>
      </c>
      <c r="L1351" s="1689">
        <f t="shared" si="263"/>
        <v>0</v>
      </c>
      <c r="M1351" s="1689">
        <f t="shared" si="263"/>
        <v>0</v>
      </c>
      <c r="N1351" s="1689">
        <f t="shared" si="263"/>
        <v>0</v>
      </c>
      <c r="O1351" s="1689"/>
      <c r="P1351" s="1689"/>
      <c r="Q1351" s="985"/>
      <c r="R1351" s="985"/>
      <c r="S1351" s="985"/>
      <c r="T1351" s="1858">
        <f t="shared" si="264"/>
        <v>0</v>
      </c>
    </row>
    <row r="1352" spans="1:20" ht="22.2" hidden="1" customHeight="1">
      <c r="A1352" s="1444">
        <f>COUNTIF($C$12:C1352,"x")</f>
        <v>41</v>
      </c>
      <c r="B1352" s="1451" t="s">
        <v>1918</v>
      </c>
      <c r="C1352" s="966" t="str">
        <f t="shared" si="265"/>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4"/>
        <v>0</v>
      </c>
    </row>
    <row r="1353" spans="1:20" ht="22.2" hidden="1" customHeight="1">
      <c r="A1353" s="1444">
        <f>COUNTIF($C$12:C1353,"x")</f>
        <v>41</v>
      </c>
      <c r="B1353" s="1451" t="s">
        <v>681</v>
      </c>
      <c r="C1353" s="966" t="str">
        <f t="shared" si="265"/>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4"/>
        <v>0</v>
      </c>
    </row>
    <row r="1354" spans="1:20" ht="22.2" hidden="1" customHeight="1">
      <c r="A1354" s="1444">
        <f>COUNTIF($C$12:C1354,"x")</f>
        <v>41</v>
      </c>
      <c r="B1354" s="1460" t="s">
        <v>356</v>
      </c>
      <c r="C1354" s="966" t="str">
        <f t="shared" si="265"/>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4"/>
        <v>0</v>
      </c>
    </row>
    <row r="1355" spans="1:20" ht="22.2" hidden="1" customHeight="1">
      <c r="A1355" s="1444">
        <f>COUNTIF($C$12:C1355,"x")</f>
        <v>41</v>
      </c>
      <c r="B1355" s="1448" t="s">
        <v>339</v>
      </c>
      <c r="C1355" s="966" t="str">
        <f t="shared" si="265"/>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2" hidden="1" customHeight="1">
      <c r="A1356" s="1444">
        <f>COUNTIF($C$12:C1356,"x")</f>
        <v>41</v>
      </c>
      <c r="B1356" s="1451" t="s">
        <v>669</v>
      </c>
      <c r="C1356" s="966" t="str">
        <f t="shared" si="265"/>
        <v xml:space="preserve"> </v>
      </c>
      <c r="D1356" s="1411">
        <v>1</v>
      </c>
      <c r="E1356" s="976"/>
      <c r="F1356" s="988" t="str">
        <f>VLOOKUP($B1356,DG!A:D,DG!$C$2,)&amp;"-Fe8x100 nhuùng keõm"</f>
        <v>Cổ dê Ø 195 nẹp trụ-Fe8x100 nhuùng keõm</v>
      </c>
      <c r="G1356" s="976" t="str">
        <f>VLOOKUP($B1356,DG!A:D,DG!$D$2,)</f>
        <v>bộ</v>
      </c>
      <c r="H1356" s="1689">
        <f t="shared" ref="H1356:N1366" si="266">H$1355*$D1356</f>
        <v>0</v>
      </c>
      <c r="I1356" s="1689">
        <f t="shared" si="266"/>
        <v>0</v>
      </c>
      <c r="J1356" s="1689">
        <f t="shared" si="266"/>
        <v>0</v>
      </c>
      <c r="K1356" s="1689">
        <f t="shared" si="266"/>
        <v>0</v>
      </c>
      <c r="L1356" s="1689">
        <f t="shared" si="266"/>
        <v>0</v>
      </c>
      <c r="M1356" s="1689">
        <f t="shared" si="266"/>
        <v>0</v>
      </c>
      <c r="N1356" s="1689">
        <f t="shared" si="266"/>
        <v>0</v>
      </c>
      <c r="O1356" s="1689"/>
      <c r="P1356" s="1689"/>
      <c r="Q1356" s="985"/>
      <c r="R1356" s="985"/>
      <c r="S1356" s="985"/>
      <c r="T1356" s="1858">
        <f t="shared" si="264"/>
        <v>0</v>
      </c>
    </row>
    <row r="1357" spans="1:20" ht="22.2" hidden="1" customHeight="1">
      <c r="A1357" s="1444">
        <f>COUNTIF($C$12:C1357,"x")</f>
        <v>41</v>
      </c>
      <c r="B1357" s="1451" t="s">
        <v>111</v>
      </c>
      <c r="C1357" s="966" t="str">
        <f t="shared" si="265"/>
        <v xml:space="preserve"> </v>
      </c>
      <c r="D1357" s="1411">
        <v>1</v>
      </c>
      <c r="E1357" s="976"/>
      <c r="F1357" s="988" t="str">
        <f>VLOOKUP($B1357,DG!A:D,DG!$C$2,)</f>
        <v>Sứ chằng</v>
      </c>
      <c r="G1357" s="976" t="str">
        <f>VLOOKUP($B1357,DG!A:D,DG!$D$2,)</f>
        <v>cái</v>
      </c>
      <c r="H1357" s="1689">
        <f t="shared" si="266"/>
        <v>0</v>
      </c>
      <c r="I1357" s="1689">
        <f t="shared" si="266"/>
        <v>0</v>
      </c>
      <c r="J1357" s="1689">
        <f t="shared" si="266"/>
        <v>0</v>
      </c>
      <c r="K1357" s="1689">
        <f t="shared" si="266"/>
        <v>0</v>
      </c>
      <c r="L1357" s="1689">
        <f t="shared" si="266"/>
        <v>0</v>
      </c>
      <c r="M1357" s="1689">
        <f t="shared" si="266"/>
        <v>0</v>
      </c>
      <c r="N1357" s="1689">
        <f t="shared" si="266"/>
        <v>0</v>
      </c>
      <c r="O1357" s="1689"/>
      <c r="P1357" s="1689"/>
      <c r="Q1357" s="985"/>
      <c r="R1357" s="985"/>
      <c r="S1357" s="985"/>
      <c r="T1357" s="1858">
        <f t="shared" si="264"/>
        <v>0</v>
      </c>
    </row>
    <row r="1358" spans="1:20" ht="22.2" hidden="1" customHeight="1">
      <c r="A1358" s="1444">
        <f>COUNTIF($C$12:C1358,"x")</f>
        <v>41</v>
      </c>
      <c r="B1358" s="1451" t="s">
        <v>1578</v>
      </c>
      <c r="C1358" s="966" t="str">
        <f t="shared" si="265"/>
        <v xml:space="preserve"> </v>
      </c>
      <c r="D1358" s="1411">
        <v>8</v>
      </c>
      <c r="E1358" s="976"/>
      <c r="F1358" s="988" t="str">
        <f>VLOOKUP($B1358,DG!A:D,DG!$C$2,)</f>
        <v>Kẹp cáp 3 boulon</v>
      </c>
      <c r="G1358" s="976" t="str">
        <f>VLOOKUP($B1358,DG!A:D,DG!$D$2,)</f>
        <v>cái</v>
      </c>
      <c r="H1358" s="1689">
        <f t="shared" si="266"/>
        <v>0</v>
      </c>
      <c r="I1358" s="1689">
        <f t="shared" si="266"/>
        <v>0</v>
      </c>
      <c r="J1358" s="1689">
        <f t="shared" si="266"/>
        <v>0</v>
      </c>
      <c r="K1358" s="1689">
        <f t="shared" si="266"/>
        <v>0</v>
      </c>
      <c r="L1358" s="1689">
        <f t="shared" si="266"/>
        <v>0</v>
      </c>
      <c r="M1358" s="1689">
        <f t="shared" si="266"/>
        <v>0</v>
      </c>
      <c r="N1358" s="1689">
        <f t="shared" si="266"/>
        <v>0</v>
      </c>
      <c r="O1358" s="1689"/>
      <c r="P1358" s="1689"/>
      <c r="Q1358" s="985"/>
      <c r="R1358" s="985"/>
      <c r="S1358" s="985"/>
      <c r="T1358" s="1858">
        <f t="shared" si="264"/>
        <v>0</v>
      </c>
    </row>
    <row r="1359" spans="1:20" ht="22.2" hidden="1" customHeight="1">
      <c r="A1359" s="1444">
        <f>COUNTIF($C$12:C1359,"x")</f>
        <v>41</v>
      </c>
      <c r="B1359" s="1466" t="s">
        <v>1049</v>
      </c>
      <c r="C1359" s="966" t="str">
        <f t="shared" si="265"/>
        <v xml:space="preserve"> </v>
      </c>
      <c r="D1359" s="1411">
        <v>15</v>
      </c>
      <c r="E1359" s="976"/>
      <c r="F1359" s="988" t="str">
        <f>VLOOKUP($B1359,DG!A:D,DG!$C$2,)</f>
        <v>Kẹp hotline 4/0</v>
      </c>
      <c r="G1359" s="976" t="str">
        <f>VLOOKUP($B1359,DG!A:D,DG!$D$2,)</f>
        <v>cái</v>
      </c>
      <c r="H1359" s="1689">
        <f t="shared" si="266"/>
        <v>0</v>
      </c>
      <c r="I1359" s="1689">
        <f t="shared" si="266"/>
        <v>0</v>
      </c>
      <c r="J1359" s="1689">
        <f t="shared" si="266"/>
        <v>0</v>
      </c>
      <c r="K1359" s="1689">
        <f t="shared" si="266"/>
        <v>0</v>
      </c>
      <c r="L1359" s="1689">
        <f t="shared" si="266"/>
        <v>0</v>
      </c>
      <c r="M1359" s="1689">
        <f t="shared" si="266"/>
        <v>0</v>
      </c>
      <c r="N1359" s="1689">
        <f t="shared" si="266"/>
        <v>0</v>
      </c>
      <c r="O1359" s="1689"/>
      <c r="P1359" s="1689"/>
      <c r="Q1359" s="985"/>
      <c r="R1359" s="985"/>
      <c r="S1359" s="985"/>
      <c r="T1359" s="1858">
        <f t="shared" si="264"/>
        <v>0</v>
      </c>
    </row>
    <row r="1360" spans="1:20" ht="22.2" hidden="1" customHeight="1">
      <c r="A1360" s="1444">
        <f>COUNTIF($C$12:C1360,"x")</f>
        <v>41</v>
      </c>
      <c r="B1360" s="1451" t="s">
        <v>607</v>
      </c>
      <c r="C1360" s="966" t="str">
        <f t="shared" si="265"/>
        <v xml:space="preserve"> </v>
      </c>
      <c r="D1360" s="1411">
        <v>1</v>
      </c>
      <c r="E1360" s="976"/>
      <c r="F1360" s="988" t="str">
        <f>VLOOKUP($B1360,DG!A:D,DG!$C$2,)</f>
        <v>Bộ chống chằng hẹp Ø60/50x1500+2BL12x40+BL16x250/80</v>
      </c>
      <c r="G1360" s="976" t="str">
        <f>VLOOKUP($B1360,DG!A:D,DG!$D$2,)</f>
        <v>bộ</v>
      </c>
      <c r="H1360" s="1689">
        <f t="shared" si="266"/>
        <v>0</v>
      </c>
      <c r="I1360" s="1689">
        <f t="shared" si="266"/>
        <v>0</v>
      </c>
      <c r="J1360" s="1689">
        <f t="shared" si="266"/>
        <v>0</v>
      </c>
      <c r="K1360" s="1689">
        <f t="shared" si="266"/>
        <v>0</v>
      </c>
      <c r="L1360" s="1689">
        <f t="shared" si="266"/>
        <v>0</v>
      </c>
      <c r="M1360" s="1689">
        <f t="shared" si="266"/>
        <v>0</v>
      </c>
      <c r="N1360" s="1689">
        <f t="shared" si="266"/>
        <v>0</v>
      </c>
      <c r="O1360" s="1689"/>
      <c r="P1360" s="1689"/>
      <c r="Q1360" s="985"/>
      <c r="R1360" s="985"/>
      <c r="S1360" s="985"/>
      <c r="T1360" s="1858">
        <f t="shared" si="264"/>
        <v>0</v>
      </c>
    </row>
    <row r="1361" spans="1:20" ht="22.2" hidden="1" customHeight="1">
      <c r="A1361" s="1444">
        <f>COUNTIF($C$12:C1361,"x")</f>
        <v>41</v>
      </c>
      <c r="B1361" s="1451" t="s">
        <v>279</v>
      </c>
      <c r="C1361" s="966" t="str">
        <f t="shared" si="265"/>
        <v xml:space="preserve"> </v>
      </c>
      <c r="D1361" s="1411">
        <v>2</v>
      </c>
      <c r="E1361" s="976"/>
      <c r="F1361" s="988" t="str">
        <f>VLOOKUP($B1361,DG!A:D,DG!$C$2,)</f>
        <v>Sắt dẹt 60 x 6</v>
      </c>
      <c r="G1361" s="976" t="str">
        <f>VLOOKUP($B1361,DG!A:D,DG!$D$2,)</f>
        <v>kg</v>
      </c>
      <c r="H1361" s="1689">
        <f t="shared" si="266"/>
        <v>0</v>
      </c>
      <c r="I1361" s="1689">
        <f t="shared" si="266"/>
        <v>0</v>
      </c>
      <c r="J1361" s="1689">
        <f t="shared" si="266"/>
        <v>0</v>
      </c>
      <c r="K1361" s="1689">
        <f t="shared" si="266"/>
        <v>0</v>
      </c>
      <c r="L1361" s="1689">
        <f t="shared" si="266"/>
        <v>0</v>
      </c>
      <c r="M1361" s="1689">
        <f t="shared" si="266"/>
        <v>0</v>
      </c>
      <c r="N1361" s="1689">
        <f t="shared" si="266"/>
        <v>0</v>
      </c>
      <c r="O1361" s="1689"/>
      <c r="P1361" s="1689"/>
      <c r="Q1361" s="985"/>
      <c r="R1361" s="985"/>
      <c r="S1361" s="985"/>
      <c r="T1361" s="1858">
        <f t="shared" si="264"/>
        <v>0</v>
      </c>
    </row>
    <row r="1362" spans="1:20" ht="22.2" hidden="1" customHeight="1">
      <c r="A1362" s="1444">
        <f>COUNTIF($C$12:C1362,"x")</f>
        <v>41</v>
      </c>
      <c r="B1362" s="1451" t="s">
        <v>1371</v>
      </c>
      <c r="C1362" s="966" t="str">
        <f t="shared" si="265"/>
        <v xml:space="preserve"> </v>
      </c>
      <c r="D1362" s="1411">
        <v>1</v>
      </c>
      <c r="E1362" s="976"/>
      <c r="F1362" s="988" t="str">
        <f>VLOOKUP($B1362,DG!A:D,DG!$C$2,)</f>
        <v xml:space="preserve">Móc treo chữ U </v>
      </c>
      <c r="G1362" s="976" t="str">
        <f>VLOOKUP($B1362,DG!A:D,DG!$D$2,)</f>
        <v>cái</v>
      </c>
      <c r="H1362" s="1689">
        <f t="shared" si="266"/>
        <v>0</v>
      </c>
      <c r="I1362" s="1689">
        <f t="shared" si="266"/>
        <v>0</v>
      </c>
      <c r="J1362" s="1689">
        <f t="shared" si="266"/>
        <v>0</v>
      </c>
      <c r="K1362" s="1689">
        <f t="shared" si="266"/>
        <v>0</v>
      </c>
      <c r="L1362" s="1689">
        <f t="shared" si="266"/>
        <v>0</v>
      </c>
      <c r="M1362" s="1689">
        <f t="shared" si="266"/>
        <v>0</v>
      </c>
      <c r="N1362" s="1689">
        <f t="shared" si="266"/>
        <v>0</v>
      </c>
      <c r="O1362" s="1689"/>
      <c r="P1362" s="1689"/>
      <c r="Q1362" s="985"/>
      <c r="R1362" s="985"/>
      <c r="S1362" s="985"/>
      <c r="T1362" s="1858">
        <f t="shared" si="264"/>
        <v>0</v>
      </c>
    </row>
    <row r="1363" spans="1:20" ht="22.2" hidden="1" customHeight="1">
      <c r="A1363" s="1444">
        <f>COUNTIF($C$12:C1363,"x")</f>
        <v>41</v>
      </c>
      <c r="B1363" s="1467" t="s">
        <v>1891</v>
      </c>
      <c r="C1363" s="966" t="str">
        <f t="shared" si="265"/>
        <v xml:space="preserve"> </v>
      </c>
      <c r="D1363" s="1411">
        <v>2</v>
      </c>
      <c r="E1363" s="976"/>
      <c r="F1363" s="988" t="str">
        <f>VLOOKUP($B1363,DG!A:D,DG!$C$2,)</f>
        <v>Boulon 16x100VRS+ 4 long đền vuông D18-50x50x3/Zn</v>
      </c>
      <c r="G1363" s="976" t="str">
        <f>VLOOKUP($B1363,DG!A:D,DG!$D$2,)</f>
        <v>bộ</v>
      </c>
      <c r="H1363" s="1689">
        <f t="shared" si="266"/>
        <v>0</v>
      </c>
      <c r="I1363" s="1689">
        <f t="shared" si="266"/>
        <v>0</v>
      </c>
      <c r="J1363" s="1689">
        <f t="shared" si="266"/>
        <v>0</v>
      </c>
      <c r="K1363" s="1689">
        <f t="shared" si="266"/>
        <v>0</v>
      </c>
      <c r="L1363" s="1689">
        <f t="shared" si="266"/>
        <v>0</v>
      </c>
      <c r="M1363" s="1689">
        <f t="shared" si="266"/>
        <v>0</v>
      </c>
      <c r="N1363" s="1689">
        <f t="shared" si="266"/>
        <v>0</v>
      </c>
      <c r="O1363" s="1689"/>
      <c r="P1363" s="1689"/>
      <c r="Q1363" s="985"/>
      <c r="R1363" s="985"/>
      <c r="S1363" s="985"/>
      <c r="T1363" s="1858">
        <f t="shared" si="264"/>
        <v>0</v>
      </c>
    </row>
    <row r="1364" spans="1:20" ht="22.2" hidden="1" customHeight="1">
      <c r="A1364" s="1444">
        <f>COUNTIF($C$12:C1364,"x")</f>
        <v>41</v>
      </c>
      <c r="B1364" s="1467" t="s">
        <v>340</v>
      </c>
      <c r="C1364" s="966" t="str">
        <f t="shared" si="265"/>
        <v xml:space="preserve"> </v>
      </c>
      <c r="D1364" s="1411">
        <v>1</v>
      </c>
      <c r="E1364" s="976"/>
      <c r="F1364" s="988" t="str">
        <f>VLOOKUP($B1364,DG!A:D,DG!$C$2,)</f>
        <v>Boulon 16x270/80+ 2 long đền vuông D18-50x50x3/Zn</v>
      </c>
      <c r="G1364" s="976" t="str">
        <f>VLOOKUP($B1364,DG!A:D,DG!$D$2,)</f>
        <v>bộ</v>
      </c>
      <c r="H1364" s="1689">
        <f t="shared" si="266"/>
        <v>0</v>
      </c>
      <c r="I1364" s="1689">
        <f t="shared" si="266"/>
        <v>0</v>
      </c>
      <c r="J1364" s="1689">
        <f t="shared" si="266"/>
        <v>0</v>
      </c>
      <c r="K1364" s="1689">
        <f t="shared" si="266"/>
        <v>0</v>
      </c>
      <c r="L1364" s="1689">
        <f t="shared" si="266"/>
        <v>0</v>
      </c>
      <c r="M1364" s="1689">
        <f t="shared" si="266"/>
        <v>0</v>
      </c>
      <c r="N1364" s="1689">
        <f t="shared" si="266"/>
        <v>0</v>
      </c>
      <c r="O1364" s="1689"/>
      <c r="P1364" s="1689"/>
      <c r="Q1364" s="985"/>
      <c r="R1364" s="985"/>
      <c r="S1364" s="985"/>
      <c r="T1364" s="1858">
        <f t="shared" si="264"/>
        <v>0</v>
      </c>
    </row>
    <row r="1365" spans="1:20" ht="22.2" hidden="1" customHeight="1">
      <c r="A1365" s="1444">
        <f>COUNTIF($C$12:C1365,"x")</f>
        <v>41</v>
      </c>
      <c r="B1365" s="1451" t="s">
        <v>2000</v>
      </c>
      <c r="C1365" s="966" t="str">
        <f t="shared" si="265"/>
        <v xml:space="preserve"> </v>
      </c>
      <c r="D1365" s="1411">
        <v>2</v>
      </c>
      <c r="E1365" s="976"/>
      <c r="F1365" s="988" t="str">
        <f>VLOOKUP($B1365,DG!A:D,DG!$C$2,)</f>
        <v>Yếm cáp dày 2mm</v>
      </c>
      <c r="G1365" s="976" t="str">
        <f>VLOOKUP($B1365,DG!A:D,DG!$D$2,)</f>
        <v>cái</v>
      </c>
      <c r="H1365" s="1689">
        <f t="shared" si="266"/>
        <v>0</v>
      </c>
      <c r="I1365" s="1689">
        <f t="shared" si="266"/>
        <v>0</v>
      </c>
      <c r="J1365" s="1689">
        <f t="shared" si="266"/>
        <v>0</v>
      </c>
      <c r="K1365" s="1689">
        <f t="shared" si="266"/>
        <v>0</v>
      </c>
      <c r="L1365" s="1689">
        <f t="shared" si="266"/>
        <v>0</v>
      </c>
      <c r="M1365" s="1689">
        <f t="shared" si="266"/>
        <v>0</v>
      </c>
      <c r="N1365" s="1689">
        <f t="shared" si="266"/>
        <v>0</v>
      </c>
      <c r="O1365" s="1689"/>
      <c r="P1365" s="1689"/>
      <c r="Q1365" s="985"/>
      <c r="R1365" s="985"/>
      <c r="S1365" s="985"/>
      <c r="T1365" s="1858">
        <f t="shared" si="264"/>
        <v>0</v>
      </c>
    </row>
    <row r="1366" spans="1:20" ht="22.2" hidden="1" customHeight="1">
      <c r="A1366" s="1444">
        <f>COUNTIF($C$12:C1366,"x")</f>
        <v>41</v>
      </c>
      <c r="B1366" s="1451" t="s">
        <v>2001</v>
      </c>
      <c r="C1366" s="966" t="str">
        <f t="shared" si="265"/>
        <v xml:space="preserve"> </v>
      </c>
      <c r="D1366" s="1411">
        <v>1</v>
      </c>
      <c r="E1366" s="976"/>
      <c r="F1366" s="988" t="str">
        <f>VLOOKUP($B1366,DG!A:D,DG!$C$2,)</f>
        <v>Máng che dây chằng dày 1,6mm</v>
      </c>
      <c r="G1366" s="976" t="str">
        <f>VLOOKUP($B1366,DG!A:D,DG!$D$2,)</f>
        <v>cái</v>
      </c>
      <c r="H1366" s="1689">
        <f t="shared" si="266"/>
        <v>0</v>
      </c>
      <c r="I1366" s="1689">
        <f t="shared" si="266"/>
        <v>0</v>
      </c>
      <c r="J1366" s="1689">
        <f t="shared" si="266"/>
        <v>0</v>
      </c>
      <c r="K1366" s="1689">
        <f t="shared" si="266"/>
        <v>0</v>
      </c>
      <c r="L1366" s="1689">
        <f t="shared" si="266"/>
        <v>0</v>
      </c>
      <c r="M1366" s="1689">
        <f t="shared" si="266"/>
        <v>0</v>
      </c>
      <c r="N1366" s="1689">
        <f t="shared" si="266"/>
        <v>0</v>
      </c>
      <c r="O1366" s="1689"/>
      <c r="P1366" s="1689"/>
      <c r="Q1366" s="985"/>
      <c r="R1366" s="985"/>
      <c r="S1366" s="985"/>
      <c r="T1366" s="1858">
        <f t="shared" si="264"/>
        <v>0</v>
      </c>
    </row>
    <row r="1367" spans="1:20" ht="22.2" hidden="1" customHeight="1">
      <c r="A1367" s="1444">
        <f>COUNTIF($C$12:C1367,"x")</f>
        <v>41</v>
      </c>
      <c r="B1367" s="1451" t="s">
        <v>1918</v>
      </c>
      <c r="C1367" s="966" t="str">
        <f t="shared" si="265"/>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4"/>
        <v>0</v>
      </c>
    </row>
    <row r="1368" spans="1:20" ht="22.2" hidden="1" customHeight="1">
      <c r="A1368" s="1444">
        <f>COUNTIF($C$12:C1368,"x")</f>
        <v>41</v>
      </c>
      <c r="B1368" s="1451" t="s">
        <v>681</v>
      </c>
      <c r="C1368" s="966" t="str">
        <f t="shared" si="265"/>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4"/>
        <v>0</v>
      </c>
    </row>
    <row r="1369" spans="1:20" ht="22.2" hidden="1" customHeight="1">
      <c r="A1369" s="1444">
        <f>COUNTIF($C$12:C1369,"x")</f>
        <v>41</v>
      </c>
      <c r="B1369" s="1451" t="s">
        <v>1906</v>
      </c>
      <c r="C1369" s="966" t="str">
        <f t="shared" si="265"/>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4"/>
        <v>0</v>
      </c>
    </row>
    <row r="1370" spans="1:20" ht="22.2" hidden="1" customHeight="1">
      <c r="A1370" s="1444">
        <f>COUNTIF($C$12:C1370,"x")</f>
        <v>41</v>
      </c>
      <c r="B1370" s="1460" t="s">
        <v>356</v>
      </c>
      <c r="C1370" s="966" t="str">
        <f t="shared" si="265"/>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4"/>
        <v>0</v>
      </c>
    </row>
    <row r="1371" spans="1:20" ht="22.2" hidden="1" customHeight="1">
      <c r="A1371" s="1444">
        <f>COUNTIF($C$12:C1371,"x")</f>
        <v>41</v>
      </c>
      <c r="B1371" s="1448" t="s">
        <v>1240</v>
      </c>
      <c r="C1371" s="966" t="str">
        <f t="shared" si="265"/>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2" hidden="1" customHeight="1">
      <c r="A1372" s="1444">
        <f>COUNTIF($C$12:C1372,"x")</f>
        <v>41</v>
      </c>
      <c r="B1372" s="1451" t="s">
        <v>669</v>
      </c>
      <c r="C1372" s="966" t="str">
        <f t="shared" si="265"/>
        <v xml:space="preserve"> </v>
      </c>
      <c r="D1372" s="1411">
        <v>1</v>
      </c>
      <c r="E1372" s="976"/>
      <c r="F1372" s="988" t="str">
        <f>VLOOKUP($B1372,DG!A:D,DG!$C$2,)&amp;"-Fe8x100 nhuùng keõm"</f>
        <v>Cổ dê Ø 195 nẹp trụ-Fe8x100 nhuùng keõm</v>
      </c>
      <c r="G1372" s="976" t="str">
        <f>VLOOKUP($B1372,DG!A:D,DG!$D$2,)</f>
        <v>bộ</v>
      </c>
      <c r="H1372" s="1689">
        <f t="shared" ref="H1372:N1381" si="267">H$1371*$D1372</f>
        <v>0</v>
      </c>
      <c r="I1372" s="1689">
        <f t="shared" si="267"/>
        <v>0</v>
      </c>
      <c r="J1372" s="1689">
        <f t="shared" si="267"/>
        <v>0</v>
      </c>
      <c r="K1372" s="1689">
        <f t="shared" si="267"/>
        <v>0</v>
      </c>
      <c r="L1372" s="1689">
        <f t="shared" si="267"/>
        <v>0</v>
      </c>
      <c r="M1372" s="1689">
        <f t="shared" si="267"/>
        <v>0</v>
      </c>
      <c r="N1372" s="1689">
        <f t="shared" si="267"/>
        <v>0</v>
      </c>
      <c r="O1372" s="1689"/>
      <c r="P1372" s="1689"/>
      <c r="Q1372" s="985"/>
      <c r="R1372" s="985"/>
      <c r="S1372" s="985"/>
      <c r="T1372" s="1858">
        <f t="shared" si="264"/>
        <v>0</v>
      </c>
    </row>
    <row r="1373" spans="1:20" ht="22.2" hidden="1" customHeight="1">
      <c r="A1373" s="1444">
        <f>COUNTIF($C$12:C1373,"x")</f>
        <v>41</v>
      </c>
      <c r="B1373" s="1451" t="s">
        <v>1466</v>
      </c>
      <c r="C1373" s="966" t="str">
        <f t="shared" si="265"/>
        <v xml:space="preserve"> </v>
      </c>
      <c r="D1373" s="1411">
        <v>1</v>
      </c>
      <c r="E1373" s="976"/>
      <c r="F1373" s="988" t="str">
        <f>VLOOKUP($B1373,DG!A:D,DG!$C$2,)&amp;"-Fe8x100 nhuùng keõm"</f>
        <v>Cổ dê Ø 220 nẹp trụ-Fe8x100 nhuùng keõm</v>
      </c>
      <c r="G1373" s="976" t="str">
        <f>VLOOKUP($B1373,DG!A:D,DG!$D$2,)</f>
        <v>bộ</v>
      </c>
      <c r="H1373" s="1689">
        <f t="shared" si="267"/>
        <v>0</v>
      </c>
      <c r="I1373" s="1689">
        <f t="shared" si="267"/>
        <v>0</v>
      </c>
      <c r="J1373" s="1689">
        <f t="shared" si="267"/>
        <v>0</v>
      </c>
      <c r="K1373" s="1689">
        <f t="shared" si="267"/>
        <v>0</v>
      </c>
      <c r="L1373" s="1689">
        <f t="shared" si="267"/>
        <v>0</v>
      </c>
      <c r="M1373" s="1689">
        <f t="shared" si="267"/>
        <v>0</v>
      </c>
      <c r="N1373" s="1689">
        <f t="shared" si="267"/>
        <v>0</v>
      </c>
      <c r="O1373" s="1689"/>
      <c r="P1373" s="1689"/>
      <c r="Q1373" s="985"/>
      <c r="R1373" s="985"/>
      <c r="S1373" s="985"/>
      <c r="T1373" s="1858">
        <f t="shared" si="264"/>
        <v>0</v>
      </c>
    </row>
    <row r="1374" spans="1:20" ht="22.2" hidden="1" customHeight="1">
      <c r="A1374" s="1444">
        <f>COUNTIF($C$12:C1374,"x")</f>
        <v>41</v>
      </c>
      <c r="B1374" s="1451" t="s">
        <v>111</v>
      </c>
      <c r="C1374" s="966" t="str">
        <f t="shared" si="265"/>
        <v xml:space="preserve"> </v>
      </c>
      <c r="D1374" s="1411">
        <v>2</v>
      </c>
      <c r="E1374" s="976"/>
      <c r="F1374" s="988" t="str">
        <f>VLOOKUP($B1374,DG!A:D,DG!$C$2,)</f>
        <v>Sứ chằng</v>
      </c>
      <c r="G1374" s="976" t="str">
        <f>VLOOKUP($B1374,DG!A:D,DG!$D$2,)</f>
        <v>cái</v>
      </c>
      <c r="H1374" s="1689">
        <f t="shared" si="267"/>
        <v>0</v>
      </c>
      <c r="I1374" s="1689">
        <f t="shared" si="267"/>
        <v>0</v>
      </c>
      <c r="J1374" s="1689">
        <f t="shared" si="267"/>
        <v>0</v>
      </c>
      <c r="K1374" s="1689">
        <f t="shared" si="267"/>
        <v>0</v>
      </c>
      <c r="L1374" s="1689">
        <f t="shared" si="267"/>
        <v>0</v>
      </c>
      <c r="M1374" s="1689">
        <f t="shared" si="267"/>
        <v>0</v>
      </c>
      <c r="N1374" s="1689">
        <f t="shared" si="267"/>
        <v>0</v>
      </c>
      <c r="O1374" s="1689"/>
      <c r="P1374" s="1689"/>
      <c r="Q1374" s="985"/>
      <c r="R1374" s="985"/>
      <c r="S1374" s="985"/>
      <c r="T1374" s="1858">
        <f t="shared" si="264"/>
        <v>0</v>
      </c>
    </row>
    <row r="1375" spans="1:20" ht="22.2" hidden="1" customHeight="1">
      <c r="A1375" s="1444">
        <f>COUNTIF($C$12:C1375,"x")</f>
        <v>41</v>
      </c>
      <c r="B1375" s="1451" t="s">
        <v>1578</v>
      </c>
      <c r="C1375" s="966" t="str">
        <f t="shared" si="265"/>
        <v xml:space="preserve"> </v>
      </c>
      <c r="D1375" s="1411">
        <v>16</v>
      </c>
      <c r="E1375" s="976"/>
      <c r="F1375" s="988" t="str">
        <f>VLOOKUP($B1375,DG!A:D,DG!$C$2,)</f>
        <v>Kẹp cáp 3 boulon</v>
      </c>
      <c r="G1375" s="976" t="str">
        <f>VLOOKUP($B1375,DG!A:D,DG!$D$2,)</f>
        <v>cái</v>
      </c>
      <c r="H1375" s="1689">
        <f t="shared" si="267"/>
        <v>0</v>
      </c>
      <c r="I1375" s="1689">
        <f t="shared" si="267"/>
        <v>0</v>
      </c>
      <c r="J1375" s="1689">
        <f t="shared" si="267"/>
        <v>0</v>
      </c>
      <c r="K1375" s="1689">
        <f t="shared" si="267"/>
        <v>0</v>
      </c>
      <c r="L1375" s="1689">
        <f t="shared" si="267"/>
        <v>0</v>
      </c>
      <c r="M1375" s="1689">
        <f t="shared" si="267"/>
        <v>0</v>
      </c>
      <c r="N1375" s="1689">
        <f t="shared" si="267"/>
        <v>0</v>
      </c>
      <c r="O1375" s="1689"/>
      <c r="P1375" s="1689"/>
      <c r="Q1375" s="985"/>
      <c r="R1375" s="985"/>
      <c r="S1375" s="985"/>
      <c r="T1375" s="1858">
        <f t="shared" si="264"/>
        <v>0</v>
      </c>
    </row>
    <row r="1376" spans="1:20" ht="22.2" hidden="1" customHeight="1">
      <c r="A1376" s="1444">
        <f>COUNTIF($C$12:C1376,"x")</f>
        <v>41</v>
      </c>
      <c r="B1376" s="1466" t="s">
        <v>1049</v>
      </c>
      <c r="C1376" s="966" t="str">
        <f t="shared" si="265"/>
        <v xml:space="preserve"> </v>
      </c>
      <c r="D1376" s="1411">
        <v>36</v>
      </c>
      <c r="E1376" s="976"/>
      <c r="F1376" s="988" t="str">
        <f>VLOOKUP($B1376,DG!A:D,DG!$C$2,)</f>
        <v>Kẹp hotline 4/0</v>
      </c>
      <c r="G1376" s="976" t="str">
        <f>VLOOKUP($B1376,DG!A:D,DG!$D$2,)</f>
        <v>cái</v>
      </c>
      <c r="H1376" s="1689">
        <f t="shared" si="267"/>
        <v>0</v>
      </c>
      <c r="I1376" s="1689">
        <f t="shared" si="267"/>
        <v>0</v>
      </c>
      <c r="J1376" s="1689">
        <f t="shared" si="267"/>
        <v>0</v>
      </c>
      <c r="K1376" s="1689">
        <f t="shared" si="267"/>
        <v>0</v>
      </c>
      <c r="L1376" s="1689">
        <f t="shared" si="267"/>
        <v>0</v>
      </c>
      <c r="M1376" s="1689">
        <f t="shared" si="267"/>
        <v>0</v>
      </c>
      <c r="N1376" s="1689">
        <f t="shared" si="267"/>
        <v>0</v>
      </c>
      <c r="O1376" s="1689"/>
      <c r="P1376" s="1689"/>
      <c r="Q1376" s="985"/>
      <c r="R1376" s="985"/>
      <c r="S1376" s="985"/>
      <c r="T1376" s="1858">
        <f t="shared" si="264"/>
        <v>0</v>
      </c>
    </row>
    <row r="1377" spans="1:20" ht="22.2" hidden="1" customHeight="1">
      <c r="A1377" s="1444">
        <f>COUNTIF($C$12:C1377,"x")</f>
        <v>41</v>
      </c>
      <c r="B1377" s="1451" t="s">
        <v>279</v>
      </c>
      <c r="C1377" s="966" t="str">
        <f t="shared" si="265"/>
        <v xml:space="preserve"> </v>
      </c>
      <c r="D1377" s="1411">
        <v>4</v>
      </c>
      <c r="E1377" s="976"/>
      <c r="F1377" s="988" t="str">
        <f>VLOOKUP($B1377,DG!A:D,DG!$C$2,)</f>
        <v>Sắt dẹt 60 x 6</v>
      </c>
      <c r="G1377" s="976" t="str">
        <f>VLOOKUP($B1377,DG!A:D,DG!$D$2,)</f>
        <v>kg</v>
      </c>
      <c r="H1377" s="1689">
        <f t="shared" si="267"/>
        <v>0</v>
      </c>
      <c r="I1377" s="1689">
        <f t="shared" si="267"/>
        <v>0</v>
      </c>
      <c r="J1377" s="1689">
        <f t="shared" si="267"/>
        <v>0</v>
      </c>
      <c r="K1377" s="1689">
        <f t="shared" si="267"/>
        <v>0</v>
      </c>
      <c r="L1377" s="1689">
        <f t="shared" si="267"/>
        <v>0</v>
      </c>
      <c r="M1377" s="1689">
        <f t="shared" si="267"/>
        <v>0</v>
      </c>
      <c r="N1377" s="1689">
        <f t="shared" si="267"/>
        <v>0</v>
      </c>
      <c r="O1377" s="1689"/>
      <c r="P1377" s="1689"/>
      <c r="Q1377" s="985"/>
      <c r="R1377" s="985"/>
      <c r="S1377" s="985"/>
      <c r="T1377" s="1858">
        <f t="shared" si="264"/>
        <v>0</v>
      </c>
    </row>
    <row r="1378" spans="1:20" ht="22.2" hidden="1" customHeight="1">
      <c r="A1378" s="1444">
        <f>COUNTIF($C$12:C1378,"x")</f>
        <v>41</v>
      </c>
      <c r="B1378" s="1451" t="s">
        <v>1371</v>
      </c>
      <c r="C1378" s="966" t="str">
        <f t="shared" si="265"/>
        <v xml:space="preserve"> </v>
      </c>
      <c r="D1378" s="1411">
        <v>2</v>
      </c>
      <c r="E1378" s="976"/>
      <c r="F1378" s="988" t="str">
        <f>VLOOKUP($B1378,DG!A:D,DG!$C$2,)</f>
        <v xml:space="preserve">Móc treo chữ U </v>
      </c>
      <c r="G1378" s="976" t="str">
        <f>VLOOKUP($B1378,DG!A:D,DG!$D$2,)</f>
        <v>cái</v>
      </c>
      <c r="H1378" s="1689">
        <f t="shared" si="267"/>
        <v>0</v>
      </c>
      <c r="I1378" s="1689">
        <f t="shared" si="267"/>
        <v>0</v>
      </c>
      <c r="J1378" s="1689">
        <f t="shared" si="267"/>
        <v>0</v>
      </c>
      <c r="K1378" s="1689">
        <f t="shared" si="267"/>
        <v>0</v>
      </c>
      <c r="L1378" s="1689">
        <f t="shared" si="267"/>
        <v>0</v>
      </c>
      <c r="M1378" s="1689">
        <f t="shared" si="267"/>
        <v>0</v>
      </c>
      <c r="N1378" s="1689">
        <f t="shared" si="267"/>
        <v>0</v>
      </c>
      <c r="O1378" s="1689"/>
      <c r="P1378" s="1689"/>
      <c r="Q1378" s="985"/>
      <c r="R1378" s="985"/>
      <c r="S1378" s="985"/>
      <c r="T1378" s="1858">
        <f t="shared" si="264"/>
        <v>0</v>
      </c>
    </row>
    <row r="1379" spans="1:20" ht="22.2" hidden="1" customHeight="1">
      <c r="A1379" s="1444">
        <f>COUNTIF($C$12:C1379,"x")</f>
        <v>41</v>
      </c>
      <c r="B1379" s="1467" t="s">
        <v>1891</v>
      </c>
      <c r="C1379" s="966" t="str">
        <f t="shared" si="265"/>
        <v xml:space="preserve"> </v>
      </c>
      <c r="D1379" s="1411">
        <v>4</v>
      </c>
      <c r="E1379" s="976"/>
      <c r="F1379" s="988" t="str">
        <f>VLOOKUP($B1379,DG!A:D,DG!$C$2,)</f>
        <v>Boulon 16x100VRS+ 4 long đền vuông D18-50x50x3/Zn</v>
      </c>
      <c r="G1379" s="976" t="str">
        <f>VLOOKUP($B1379,DG!A:D,DG!$D$2,)</f>
        <v>bộ</v>
      </c>
      <c r="H1379" s="1689">
        <f t="shared" si="267"/>
        <v>0</v>
      </c>
      <c r="I1379" s="1689">
        <f t="shared" si="267"/>
        <v>0</v>
      </c>
      <c r="J1379" s="1689">
        <f t="shared" si="267"/>
        <v>0</v>
      </c>
      <c r="K1379" s="1689">
        <f t="shared" si="267"/>
        <v>0</v>
      </c>
      <c r="L1379" s="1689">
        <f t="shared" si="267"/>
        <v>0</v>
      </c>
      <c r="M1379" s="1689">
        <f t="shared" si="267"/>
        <v>0</v>
      </c>
      <c r="N1379" s="1689">
        <f t="shared" si="267"/>
        <v>0</v>
      </c>
      <c r="O1379" s="1689"/>
      <c r="P1379" s="1689"/>
      <c r="Q1379" s="985"/>
      <c r="R1379" s="985"/>
      <c r="S1379" s="985"/>
      <c r="T1379" s="1858">
        <f t="shared" si="264"/>
        <v>0</v>
      </c>
    </row>
    <row r="1380" spans="1:20" ht="22.2" hidden="1" customHeight="1">
      <c r="A1380" s="1444">
        <f>COUNTIF($C$12:C1380,"x")</f>
        <v>41</v>
      </c>
      <c r="B1380" s="1451" t="s">
        <v>2000</v>
      </c>
      <c r="C1380" s="966" t="str">
        <f t="shared" si="265"/>
        <v xml:space="preserve"> </v>
      </c>
      <c r="D1380" s="1411">
        <v>4</v>
      </c>
      <c r="E1380" s="976"/>
      <c r="F1380" s="988" t="str">
        <f>VLOOKUP($B1380,DG!A:D,DG!$C$2,)</f>
        <v>Yếm cáp dày 2mm</v>
      </c>
      <c r="G1380" s="976" t="str">
        <f>VLOOKUP($B1380,DG!A:D,DG!$D$2,)</f>
        <v>cái</v>
      </c>
      <c r="H1380" s="1689">
        <f t="shared" si="267"/>
        <v>0</v>
      </c>
      <c r="I1380" s="1689">
        <f t="shared" si="267"/>
        <v>0</v>
      </c>
      <c r="J1380" s="1689">
        <f t="shared" si="267"/>
        <v>0</v>
      </c>
      <c r="K1380" s="1689">
        <f t="shared" si="267"/>
        <v>0</v>
      </c>
      <c r="L1380" s="1689">
        <f t="shared" si="267"/>
        <v>0</v>
      </c>
      <c r="M1380" s="1689">
        <f t="shared" si="267"/>
        <v>0</v>
      </c>
      <c r="N1380" s="1689">
        <f t="shared" si="267"/>
        <v>0</v>
      </c>
      <c r="O1380" s="1689"/>
      <c r="P1380" s="1689"/>
      <c r="Q1380" s="985"/>
      <c r="R1380" s="985"/>
      <c r="S1380" s="985"/>
      <c r="T1380" s="1858">
        <f t="shared" si="264"/>
        <v>0</v>
      </c>
    </row>
    <row r="1381" spans="1:20" ht="22.2" hidden="1" customHeight="1">
      <c r="A1381" s="1444">
        <f>COUNTIF($C$12:C1381,"x")</f>
        <v>41</v>
      </c>
      <c r="B1381" s="1451" t="s">
        <v>2001</v>
      </c>
      <c r="C1381" s="966" t="str">
        <f t="shared" si="265"/>
        <v xml:space="preserve"> </v>
      </c>
      <c r="D1381" s="1411">
        <v>2</v>
      </c>
      <c r="E1381" s="976"/>
      <c r="F1381" s="988" t="str">
        <f>VLOOKUP($B1381,DG!A:D,DG!$C$2,)</f>
        <v>Máng che dây chằng dày 1,6mm</v>
      </c>
      <c r="G1381" s="976" t="str">
        <f>VLOOKUP($B1381,DG!A:D,DG!$D$2,)</f>
        <v>cái</v>
      </c>
      <c r="H1381" s="1689">
        <f t="shared" si="267"/>
        <v>0</v>
      </c>
      <c r="I1381" s="1689">
        <f t="shared" si="267"/>
        <v>0</v>
      </c>
      <c r="J1381" s="1689">
        <f t="shared" si="267"/>
        <v>0</v>
      </c>
      <c r="K1381" s="1689">
        <f t="shared" si="267"/>
        <v>0</v>
      </c>
      <c r="L1381" s="1689">
        <f t="shared" si="267"/>
        <v>0</v>
      </c>
      <c r="M1381" s="1689">
        <f t="shared" si="267"/>
        <v>0</v>
      </c>
      <c r="N1381" s="1689">
        <f t="shared" si="267"/>
        <v>0</v>
      </c>
      <c r="O1381" s="1689"/>
      <c r="P1381" s="1689"/>
      <c r="Q1381" s="985"/>
      <c r="R1381" s="985"/>
      <c r="S1381" s="985"/>
      <c r="T1381" s="1858">
        <f t="shared" si="264"/>
        <v>0</v>
      </c>
    </row>
    <row r="1382" spans="1:20" ht="22.2" hidden="1" customHeight="1">
      <c r="A1382" s="1444">
        <f>COUNTIF($C$12:C1382,"x")</f>
        <v>41</v>
      </c>
      <c r="B1382" s="1451" t="s">
        <v>1918</v>
      </c>
      <c r="C1382" s="966" t="str">
        <f t="shared" si="265"/>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4"/>
        <v>0</v>
      </c>
    </row>
    <row r="1383" spans="1:20" ht="22.2" hidden="1" customHeight="1">
      <c r="A1383" s="1444">
        <f>COUNTIF($C$12:C1383,"x")</f>
        <v>41</v>
      </c>
      <c r="B1383" s="1451" t="s">
        <v>681</v>
      </c>
      <c r="C1383" s="966" t="str">
        <f t="shared" si="265"/>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4"/>
        <v>0</v>
      </c>
    </row>
    <row r="1384" spans="1:20" ht="22.2" hidden="1" customHeight="1">
      <c r="A1384" s="1444">
        <f>COUNTIF($C$12:C1384,"x")</f>
        <v>41</v>
      </c>
      <c r="B1384" s="1460" t="s">
        <v>356</v>
      </c>
      <c r="C1384" s="966" t="str">
        <f t="shared" si="265"/>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4"/>
        <v>0</v>
      </c>
    </row>
    <row r="1385" spans="1:20" ht="22.2" hidden="1" customHeight="1">
      <c r="A1385" s="1444">
        <f>COUNTIF($C$12:C1385,"x")</f>
        <v>41</v>
      </c>
      <c r="B1385" s="1448" t="s">
        <v>812</v>
      </c>
      <c r="C1385" s="966" t="str">
        <f t="shared" si="265"/>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2" hidden="1" customHeight="1">
      <c r="A1386" s="1444">
        <f>COUNTIF($C$12:C1386,"x")</f>
        <v>41</v>
      </c>
      <c r="B1386" s="1451" t="s">
        <v>669</v>
      </c>
      <c r="C1386" s="966" t="str">
        <f t="shared" si="265"/>
        <v xml:space="preserve"> </v>
      </c>
      <c r="D1386" s="1414">
        <v>1</v>
      </c>
      <c r="E1386" s="980"/>
      <c r="F1386" s="986" t="str">
        <f>VLOOKUP($B1386,DG!A:D,DG!$C$2,)&amp;"-Fe8x100 nhuùng keõm"</f>
        <v>Cổ dê Ø 195 nẹp trụ-Fe8x100 nhuùng keõm</v>
      </c>
      <c r="G1386" s="980" t="str">
        <f>VLOOKUP($B1386,DG!A:D,DG!$D$2,)</f>
        <v>bộ</v>
      </c>
      <c r="H1386" s="1690">
        <f t="shared" ref="H1386:J1394" si="268">H$1385*$D1386</f>
        <v>0</v>
      </c>
      <c r="I1386" s="1690">
        <f t="shared" si="268"/>
        <v>0</v>
      </c>
      <c r="J1386" s="1690">
        <f t="shared" si="268"/>
        <v>0</v>
      </c>
      <c r="K1386" s="1690"/>
      <c r="L1386" s="1690"/>
      <c r="M1386" s="1690"/>
      <c r="N1386" s="1690"/>
      <c r="O1386" s="1690"/>
      <c r="P1386" s="1690"/>
      <c r="Q1386" s="984"/>
      <c r="R1386" s="984"/>
      <c r="S1386" s="984"/>
      <c r="T1386" s="1858">
        <f t="shared" si="264"/>
        <v>0</v>
      </c>
    </row>
    <row r="1387" spans="1:20" ht="22.2" hidden="1" customHeight="1">
      <c r="A1387" s="1444">
        <f>COUNTIF($C$12:C1387,"x")</f>
        <v>41</v>
      </c>
      <c r="B1387" s="1451" t="s">
        <v>111</v>
      </c>
      <c r="C1387" s="966" t="str">
        <f t="shared" si="265"/>
        <v xml:space="preserve"> </v>
      </c>
      <c r="D1387" s="1414">
        <v>2</v>
      </c>
      <c r="E1387" s="980"/>
      <c r="F1387" s="986" t="str">
        <f>VLOOKUP($B1387,DG!A:D,DG!$C$2,)</f>
        <v>Sứ chằng</v>
      </c>
      <c r="G1387" s="980" t="str">
        <f>VLOOKUP($B1387,DG!A:D,DG!$D$2,)</f>
        <v>cái</v>
      </c>
      <c r="H1387" s="1690">
        <f t="shared" si="268"/>
        <v>0</v>
      </c>
      <c r="I1387" s="1690">
        <f t="shared" si="268"/>
        <v>0</v>
      </c>
      <c r="J1387" s="1690">
        <f t="shared" si="268"/>
        <v>0</v>
      </c>
      <c r="K1387" s="1690"/>
      <c r="L1387" s="1690"/>
      <c r="M1387" s="1690"/>
      <c r="N1387" s="1690"/>
      <c r="O1387" s="1690"/>
      <c r="P1387" s="1690"/>
      <c r="Q1387" s="984"/>
      <c r="R1387" s="984"/>
      <c r="S1387" s="984"/>
      <c r="T1387" s="1858">
        <f t="shared" si="264"/>
        <v>0</v>
      </c>
    </row>
    <row r="1388" spans="1:20" ht="22.2" hidden="1" customHeight="1">
      <c r="A1388" s="1444">
        <f>COUNTIF($C$12:C1388,"x")</f>
        <v>41</v>
      </c>
      <c r="B1388" s="1451" t="s">
        <v>1578</v>
      </c>
      <c r="C1388" s="966" t="str">
        <f t="shared" si="265"/>
        <v xml:space="preserve"> </v>
      </c>
      <c r="D1388" s="1414">
        <v>8</v>
      </c>
      <c r="E1388" s="980"/>
      <c r="F1388" s="986" t="str">
        <f>VLOOKUP($B1388,DG!A:D,DG!$C$2,)</f>
        <v>Kẹp cáp 3 boulon</v>
      </c>
      <c r="G1388" s="980" t="str">
        <f>VLOOKUP($B1388,DG!A:D,DG!$D$2,)</f>
        <v>cái</v>
      </c>
      <c r="H1388" s="1690">
        <f t="shared" si="268"/>
        <v>0</v>
      </c>
      <c r="I1388" s="1690">
        <f t="shared" si="268"/>
        <v>0</v>
      </c>
      <c r="J1388" s="1690">
        <f t="shared" si="268"/>
        <v>0</v>
      </c>
      <c r="K1388" s="1690"/>
      <c r="L1388" s="1690"/>
      <c r="M1388" s="1690"/>
      <c r="N1388" s="1690"/>
      <c r="O1388" s="1690"/>
      <c r="P1388" s="1690"/>
      <c r="Q1388" s="984"/>
      <c r="R1388" s="984"/>
      <c r="S1388" s="984"/>
      <c r="T1388" s="1858">
        <f t="shared" si="264"/>
        <v>0</v>
      </c>
    </row>
    <row r="1389" spans="1:20" ht="22.2" hidden="1" customHeight="1">
      <c r="A1389" s="1444">
        <f>COUNTIF($C$12:C1389,"x")</f>
        <v>41</v>
      </c>
      <c r="B1389" s="1451" t="s">
        <v>1359</v>
      </c>
      <c r="C1389" s="966" t="str">
        <f t="shared" si="265"/>
        <v xml:space="preserve"> </v>
      </c>
      <c r="D1389" s="1414">
        <v>19</v>
      </c>
      <c r="E1389" s="980"/>
      <c r="F1389" s="986" t="str">
        <f>VLOOKUP($B1389,DG!A:D,DG!$C$2,)</f>
        <v>Cáp thép 5/8"</v>
      </c>
      <c r="G1389" s="980" t="str">
        <f>VLOOKUP($B1389,DG!A:D,DG!$D$2,)</f>
        <v>kg</v>
      </c>
      <c r="H1389" s="1690">
        <f t="shared" si="268"/>
        <v>0</v>
      </c>
      <c r="I1389" s="1690">
        <f t="shared" si="268"/>
        <v>0</v>
      </c>
      <c r="J1389" s="1690">
        <f t="shared" si="268"/>
        <v>0</v>
      </c>
      <c r="K1389" s="1690"/>
      <c r="L1389" s="1690"/>
      <c r="M1389" s="1690"/>
      <c r="N1389" s="1690"/>
      <c r="O1389" s="1690"/>
      <c r="P1389" s="1690"/>
      <c r="Q1389" s="984"/>
      <c r="R1389" s="984"/>
      <c r="S1389" s="984"/>
      <c r="T1389" s="1858">
        <f t="shared" si="264"/>
        <v>0</v>
      </c>
    </row>
    <row r="1390" spans="1:20" ht="22.2" hidden="1" customHeight="1">
      <c r="A1390" s="1444">
        <f>COUNTIF($C$12:C1390,"x")</f>
        <v>41</v>
      </c>
      <c r="B1390" s="1451" t="s">
        <v>279</v>
      </c>
      <c r="C1390" s="966" t="str">
        <f t="shared" si="265"/>
        <v xml:space="preserve"> </v>
      </c>
      <c r="D1390" s="1414">
        <v>2</v>
      </c>
      <c r="E1390" s="980"/>
      <c r="F1390" s="986" t="str">
        <f>VLOOKUP($B1390,DG!A:D,DG!$C$2,)</f>
        <v>Sắt dẹt 60 x 6</v>
      </c>
      <c r="G1390" s="980" t="str">
        <f>VLOOKUP($B1390,DG!A:D,DG!$D$2,)</f>
        <v>kg</v>
      </c>
      <c r="H1390" s="1690">
        <f t="shared" si="268"/>
        <v>0</v>
      </c>
      <c r="I1390" s="1690">
        <f t="shared" si="268"/>
        <v>0</v>
      </c>
      <c r="J1390" s="1690">
        <f t="shared" si="268"/>
        <v>0</v>
      </c>
      <c r="K1390" s="1690"/>
      <c r="L1390" s="1690"/>
      <c r="M1390" s="1690"/>
      <c r="N1390" s="1690"/>
      <c r="O1390" s="1690"/>
      <c r="P1390" s="1690"/>
      <c r="Q1390" s="984"/>
      <c r="R1390" s="984"/>
      <c r="S1390" s="984"/>
      <c r="T1390" s="1858">
        <f t="shared" si="264"/>
        <v>0</v>
      </c>
    </row>
    <row r="1391" spans="1:20" ht="22.2" hidden="1" customHeight="1">
      <c r="A1391" s="1444">
        <f>COUNTIF($C$12:C1391,"x")</f>
        <v>41</v>
      </c>
      <c r="B1391" s="1451" t="s">
        <v>1371</v>
      </c>
      <c r="C1391" s="966" t="str">
        <f t="shared" si="265"/>
        <v xml:space="preserve"> </v>
      </c>
      <c r="D1391" s="1414">
        <v>1</v>
      </c>
      <c r="E1391" s="980"/>
      <c r="F1391" s="986" t="str">
        <f>VLOOKUP($B1391,DG!A:D,DG!$C$2,)</f>
        <v xml:space="preserve">Móc treo chữ U </v>
      </c>
      <c r="G1391" s="980" t="str">
        <f>VLOOKUP($B1391,DG!A:D,DG!$D$2,)</f>
        <v>cái</v>
      </c>
      <c r="H1391" s="1690">
        <f t="shared" si="268"/>
        <v>0</v>
      </c>
      <c r="I1391" s="1690">
        <f t="shared" si="268"/>
        <v>0</v>
      </c>
      <c r="J1391" s="1690">
        <f t="shared" si="268"/>
        <v>0</v>
      </c>
      <c r="K1391" s="1690"/>
      <c r="L1391" s="1690"/>
      <c r="M1391" s="1690"/>
      <c r="N1391" s="1690"/>
      <c r="O1391" s="1690"/>
      <c r="P1391" s="1690"/>
      <c r="Q1391" s="984"/>
      <c r="R1391" s="984"/>
      <c r="S1391" s="984"/>
      <c r="T1391" s="1858">
        <f t="shared" si="264"/>
        <v>0</v>
      </c>
    </row>
    <row r="1392" spans="1:20" ht="22.2" hidden="1" customHeight="1">
      <c r="A1392" s="1444">
        <f>COUNTIF($C$12:C1392,"x")</f>
        <v>41</v>
      </c>
      <c r="B1392" s="1467" t="s">
        <v>1891</v>
      </c>
      <c r="C1392" s="966" t="str">
        <f t="shared" si="265"/>
        <v xml:space="preserve"> </v>
      </c>
      <c r="D1392" s="1414">
        <v>2</v>
      </c>
      <c r="E1392" s="980"/>
      <c r="F1392" s="986" t="str">
        <f>VLOOKUP($B1392,DG!A:D,DG!$C$2,)</f>
        <v>Boulon 16x100VRS+ 4 long đền vuông D18-50x50x3/Zn</v>
      </c>
      <c r="G1392" s="980" t="str">
        <f>VLOOKUP($B1392,DG!A:D,DG!$D$2,)</f>
        <v>bộ</v>
      </c>
      <c r="H1392" s="1690">
        <f t="shared" si="268"/>
        <v>0</v>
      </c>
      <c r="I1392" s="1690">
        <f t="shared" si="268"/>
        <v>0</v>
      </c>
      <c r="J1392" s="1690">
        <f t="shared" si="268"/>
        <v>0</v>
      </c>
      <c r="K1392" s="1690"/>
      <c r="L1392" s="1690"/>
      <c r="M1392" s="1690"/>
      <c r="N1392" s="1690"/>
      <c r="O1392" s="1690"/>
      <c r="P1392" s="1690"/>
      <c r="Q1392" s="984"/>
      <c r="R1392" s="984"/>
      <c r="S1392" s="984"/>
      <c r="T1392" s="1858">
        <f t="shared" si="264"/>
        <v>0</v>
      </c>
    </row>
    <row r="1393" spans="1:20" ht="22.2" hidden="1" customHeight="1">
      <c r="A1393" s="1444">
        <f>COUNTIF($C$12:C1393,"x")</f>
        <v>41</v>
      </c>
      <c r="B1393" s="1451" t="s">
        <v>2000</v>
      </c>
      <c r="C1393" s="966" t="str">
        <f t="shared" si="265"/>
        <v xml:space="preserve"> </v>
      </c>
      <c r="D1393" s="1414">
        <v>2</v>
      </c>
      <c r="E1393" s="980"/>
      <c r="F1393" s="986" t="str">
        <f>VLOOKUP($B1393,DG!A:D,DG!$C$2,)</f>
        <v>Yếm cáp dày 2mm</v>
      </c>
      <c r="G1393" s="980" t="str">
        <f>VLOOKUP($B1393,DG!A:D,DG!$D$2,)</f>
        <v>cái</v>
      </c>
      <c r="H1393" s="1690">
        <f t="shared" si="268"/>
        <v>0</v>
      </c>
      <c r="I1393" s="1690">
        <f t="shared" si="268"/>
        <v>0</v>
      </c>
      <c r="J1393" s="1690">
        <f t="shared" si="268"/>
        <v>0</v>
      </c>
      <c r="K1393" s="1690"/>
      <c r="L1393" s="1690"/>
      <c r="M1393" s="1690"/>
      <c r="N1393" s="1690"/>
      <c r="O1393" s="1690"/>
      <c r="P1393" s="1690"/>
      <c r="Q1393" s="984"/>
      <c r="R1393" s="984"/>
      <c r="S1393" s="984"/>
      <c r="T1393" s="1858">
        <f t="shared" si="264"/>
        <v>0</v>
      </c>
    </row>
    <row r="1394" spans="1:20" ht="22.2" hidden="1" customHeight="1">
      <c r="A1394" s="1444">
        <f>COUNTIF($C$12:C1394,"x")</f>
        <v>41</v>
      </c>
      <c r="B1394" s="1451" t="s">
        <v>2001</v>
      </c>
      <c r="C1394" s="966" t="str">
        <f t="shared" si="265"/>
        <v xml:space="preserve"> </v>
      </c>
      <c r="D1394" s="1414">
        <v>1</v>
      </c>
      <c r="E1394" s="980"/>
      <c r="F1394" s="986" t="str">
        <f>VLOOKUP($B1394,DG!A:D,DG!$C$2,)</f>
        <v>Máng che dây chằng dày 1,6mm</v>
      </c>
      <c r="G1394" s="980" t="str">
        <f>VLOOKUP($B1394,DG!A:D,DG!$D$2,)</f>
        <v>cái</v>
      </c>
      <c r="H1394" s="1690">
        <f t="shared" si="268"/>
        <v>0</v>
      </c>
      <c r="I1394" s="1690">
        <f t="shared" si="268"/>
        <v>0</v>
      </c>
      <c r="J1394" s="1690">
        <f t="shared" si="268"/>
        <v>0</v>
      </c>
      <c r="K1394" s="1690"/>
      <c r="L1394" s="1690"/>
      <c r="M1394" s="1690"/>
      <c r="N1394" s="1690"/>
      <c r="O1394" s="1690"/>
      <c r="P1394" s="1690"/>
      <c r="Q1394" s="984"/>
      <c r="R1394" s="984"/>
      <c r="S1394" s="984"/>
      <c r="T1394" s="1858">
        <f t="shared" si="264"/>
        <v>0</v>
      </c>
    </row>
    <row r="1395" spans="1:20" ht="22.2" hidden="1" customHeight="1">
      <c r="A1395" s="1444">
        <f>COUNTIF($C$12:C1395,"x")</f>
        <v>41</v>
      </c>
      <c r="B1395" s="1451" t="s">
        <v>1918</v>
      </c>
      <c r="C1395" s="966" t="str">
        <f t="shared" si="265"/>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4"/>
        <v>0</v>
      </c>
    </row>
    <row r="1396" spans="1:20" ht="22.2" hidden="1" customHeight="1">
      <c r="A1396" s="1444">
        <f>COUNTIF($C$12:C1396,"x")</f>
        <v>41</v>
      </c>
      <c r="B1396" s="1451" t="s">
        <v>681</v>
      </c>
      <c r="C1396" s="966" t="str">
        <f t="shared" si="265"/>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4"/>
        <v>0</v>
      </c>
    </row>
    <row r="1397" spans="1:20" ht="22.2" hidden="1" customHeight="1">
      <c r="A1397" s="1444">
        <f>COUNTIF($C$12:C1397,"x")</f>
        <v>41</v>
      </c>
      <c r="B1397" s="1460" t="s">
        <v>356</v>
      </c>
      <c r="C1397" s="966" t="str">
        <f t="shared" si="265"/>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4"/>
        <v>0</v>
      </c>
    </row>
    <row r="1398" spans="1:20" ht="22.2" hidden="1" customHeight="1">
      <c r="A1398" s="1444">
        <f>COUNTIF($C$12:C1398,"x")</f>
        <v>41</v>
      </c>
      <c r="B1398" s="1448" t="s">
        <v>1089</v>
      </c>
      <c r="C1398" s="966" t="str">
        <f t="shared" si="265"/>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2" hidden="1" customHeight="1">
      <c r="A1399" s="1444">
        <f>COUNTIF($C$12:C1399,"x")</f>
        <v>41</v>
      </c>
      <c r="B1399" s="1451" t="s">
        <v>669</v>
      </c>
      <c r="C1399" s="966" t="str">
        <f t="shared" si="265"/>
        <v xml:space="preserve"> </v>
      </c>
      <c r="D1399" s="1411">
        <v>1</v>
      </c>
      <c r="E1399" s="976"/>
      <c r="F1399" s="988" t="str">
        <f>VLOOKUP($B1399,DG!A:D,DG!$C$2,)&amp;"-Fe8x100 nhuùng keõm"</f>
        <v>Cổ dê Ø 195 nẹp trụ-Fe8x100 nhuùng keõm</v>
      </c>
      <c r="G1399" s="976" t="str">
        <f>VLOOKUP($B1399,DG!A:D,DG!$D$2,)</f>
        <v>bộ</v>
      </c>
      <c r="H1399" s="1689">
        <f t="shared" ref="H1399:N1406" si="269">H$1398*$D1399</f>
        <v>0</v>
      </c>
      <c r="I1399" s="1689">
        <f t="shared" si="269"/>
        <v>0</v>
      </c>
      <c r="J1399" s="1689">
        <f t="shared" si="269"/>
        <v>0</v>
      </c>
      <c r="K1399" s="1689">
        <f t="shared" si="269"/>
        <v>0</v>
      </c>
      <c r="L1399" s="1689">
        <f t="shared" si="269"/>
        <v>0</v>
      </c>
      <c r="M1399" s="1689">
        <f t="shared" si="269"/>
        <v>0</v>
      </c>
      <c r="N1399" s="1689">
        <f t="shared" si="269"/>
        <v>0</v>
      </c>
      <c r="O1399" s="1689"/>
      <c r="P1399" s="1689"/>
      <c r="Q1399" s="985"/>
      <c r="R1399" s="985"/>
      <c r="S1399" s="985"/>
      <c r="T1399" s="1858">
        <f t="shared" si="264"/>
        <v>0</v>
      </c>
    </row>
    <row r="1400" spans="1:20" ht="22.2" hidden="1" customHeight="1">
      <c r="A1400" s="1444">
        <f>COUNTIF($C$12:C1400,"x")</f>
        <v>41</v>
      </c>
      <c r="B1400" s="1451" t="s">
        <v>111</v>
      </c>
      <c r="C1400" s="966" t="str">
        <f t="shared" si="265"/>
        <v xml:space="preserve"> </v>
      </c>
      <c r="D1400" s="1411">
        <v>2</v>
      </c>
      <c r="E1400" s="976"/>
      <c r="F1400" s="988" t="str">
        <f>VLOOKUP($B1400,DG!A:D,DG!$C$2,)</f>
        <v>Sứ chằng</v>
      </c>
      <c r="G1400" s="976" t="str">
        <f>VLOOKUP($B1400,DG!A:D,DG!$D$2,)</f>
        <v>cái</v>
      </c>
      <c r="H1400" s="1689">
        <f t="shared" si="269"/>
        <v>0</v>
      </c>
      <c r="I1400" s="1689">
        <f t="shared" si="269"/>
        <v>0</v>
      </c>
      <c r="J1400" s="1689">
        <f t="shared" si="269"/>
        <v>0</v>
      </c>
      <c r="K1400" s="1689">
        <f t="shared" si="269"/>
        <v>0</v>
      </c>
      <c r="L1400" s="1689">
        <f t="shared" si="269"/>
        <v>0</v>
      </c>
      <c r="M1400" s="1689">
        <f t="shared" si="269"/>
        <v>0</v>
      </c>
      <c r="N1400" s="1689">
        <f t="shared" si="269"/>
        <v>0</v>
      </c>
      <c r="O1400" s="1689"/>
      <c r="P1400" s="1689"/>
      <c r="Q1400" s="985"/>
      <c r="R1400" s="985"/>
      <c r="S1400" s="985"/>
      <c r="T1400" s="1858">
        <f t="shared" si="264"/>
        <v>0</v>
      </c>
    </row>
    <row r="1401" spans="1:20" ht="22.2" hidden="1" customHeight="1">
      <c r="A1401" s="1444">
        <f>COUNTIF($C$12:C1401,"x")</f>
        <v>41</v>
      </c>
      <c r="B1401" s="1451" t="s">
        <v>1578</v>
      </c>
      <c r="C1401" s="966" t="str">
        <f t="shared" si="265"/>
        <v xml:space="preserve"> </v>
      </c>
      <c r="D1401" s="1411">
        <v>12</v>
      </c>
      <c r="E1401" s="976"/>
      <c r="F1401" s="988" t="str">
        <f>VLOOKUP($B1401,DG!A:D,DG!$C$2,)</f>
        <v>Kẹp cáp 3 boulon</v>
      </c>
      <c r="G1401" s="976" t="str">
        <f>VLOOKUP($B1401,DG!A:D,DG!$D$2,)</f>
        <v>cái</v>
      </c>
      <c r="H1401" s="1689">
        <f t="shared" si="269"/>
        <v>0</v>
      </c>
      <c r="I1401" s="1689">
        <f t="shared" si="269"/>
        <v>0</v>
      </c>
      <c r="J1401" s="1689">
        <f t="shared" si="269"/>
        <v>0</v>
      </c>
      <c r="K1401" s="1689">
        <f t="shared" si="269"/>
        <v>0</v>
      </c>
      <c r="L1401" s="1689">
        <f t="shared" si="269"/>
        <v>0</v>
      </c>
      <c r="M1401" s="1689">
        <f t="shared" si="269"/>
        <v>0</v>
      </c>
      <c r="N1401" s="1689">
        <f t="shared" si="269"/>
        <v>0</v>
      </c>
      <c r="O1401" s="1689"/>
      <c r="P1401" s="1689"/>
      <c r="Q1401" s="985"/>
      <c r="R1401" s="985"/>
      <c r="S1401" s="985"/>
      <c r="T1401" s="1858">
        <f t="shared" si="264"/>
        <v>0</v>
      </c>
    </row>
    <row r="1402" spans="1:20" ht="22.2" hidden="1" customHeight="1">
      <c r="A1402" s="1444">
        <f>COUNTIF($C$12:C1402,"x")</f>
        <v>41</v>
      </c>
      <c r="B1402" s="1466" t="s">
        <v>1049</v>
      </c>
      <c r="C1402" s="966" t="str">
        <f t="shared" si="265"/>
        <v xml:space="preserve"> </v>
      </c>
      <c r="D1402" s="1411">
        <v>6</v>
      </c>
      <c r="E1402" s="976"/>
      <c r="F1402" s="988" t="str">
        <f>VLOOKUP($B1402,DG!A:D,DG!$C$2,)</f>
        <v>Kẹp hotline 4/0</v>
      </c>
      <c r="G1402" s="976" t="str">
        <f>VLOOKUP($B1402,DG!A:D,DG!$D$2,)</f>
        <v>cái</v>
      </c>
      <c r="H1402" s="1689">
        <f t="shared" si="269"/>
        <v>0</v>
      </c>
      <c r="I1402" s="1689">
        <f t="shared" si="269"/>
        <v>0</v>
      </c>
      <c r="J1402" s="1689">
        <f t="shared" si="269"/>
        <v>0</v>
      </c>
      <c r="K1402" s="1689">
        <f t="shared" si="269"/>
        <v>0</v>
      </c>
      <c r="L1402" s="1689">
        <f t="shared" si="269"/>
        <v>0</v>
      </c>
      <c r="M1402" s="1689">
        <f t="shared" si="269"/>
        <v>0</v>
      </c>
      <c r="N1402" s="1689">
        <f t="shared" si="269"/>
        <v>0</v>
      </c>
      <c r="O1402" s="1689"/>
      <c r="P1402" s="1689"/>
      <c r="Q1402" s="985"/>
      <c r="R1402" s="985"/>
      <c r="S1402" s="985"/>
      <c r="T1402" s="1858">
        <f t="shared" si="264"/>
        <v>0</v>
      </c>
    </row>
    <row r="1403" spans="1:20" ht="22.2" hidden="1" customHeight="1">
      <c r="A1403" s="1444">
        <f>COUNTIF($C$12:C1403,"x")</f>
        <v>41</v>
      </c>
      <c r="B1403" s="1451" t="s">
        <v>279</v>
      </c>
      <c r="C1403" s="966" t="str">
        <f t="shared" si="265"/>
        <v xml:space="preserve"> </v>
      </c>
      <c r="D1403" s="1411">
        <v>2</v>
      </c>
      <c r="E1403" s="976"/>
      <c r="F1403" s="988" t="str">
        <f>VLOOKUP($B1403,DG!A:D,DG!$C$2,)</f>
        <v>Sắt dẹt 60 x 6</v>
      </c>
      <c r="G1403" s="976" t="str">
        <f>VLOOKUP($B1403,DG!A:D,DG!$D$2,)</f>
        <v>kg</v>
      </c>
      <c r="H1403" s="1689">
        <f t="shared" si="269"/>
        <v>0</v>
      </c>
      <c r="I1403" s="1689">
        <f t="shared" si="269"/>
        <v>0</v>
      </c>
      <c r="J1403" s="1689">
        <f t="shared" si="269"/>
        <v>0</v>
      </c>
      <c r="K1403" s="1689">
        <f t="shared" si="269"/>
        <v>0</v>
      </c>
      <c r="L1403" s="1689">
        <f t="shared" si="269"/>
        <v>0</v>
      </c>
      <c r="M1403" s="1689">
        <f t="shared" si="269"/>
        <v>0</v>
      </c>
      <c r="N1403" s="1689">
        <f t="shared" si="269"/>
        <v>0</v>
      </c>
      <c r="O1403" s="1689"/>
      <c r="P1403" s="1689"/>
      <c r="Q1403" s="985"/>
      <c r="R1403" s="985"/>
      <c r="S1403" s="985"/>
      <c r="T1403" s="1858">
        <f t="shared" si="264"/>
        <v>0</v>
      </c>
    </row>
    <row r="1404" spans="1:20" ht="22.2" hidden="1" customHeight="1">
      <c r="A1404" s="1444">
        <f>COUNTIF($C$12:C1404,"x")</f>
        <v>41</v>
      </c>
      <c r="B1404" s="1451" t="s">
        <v>1371</v>
      </c>
      <c r="C1404" s="966" t="str">
        <f t="shared" si="265"/>
        <v xml:space="preserve"> </v>
      </c>
      <c r="D1404" s="1411">
        <v>2</v>
      </c>
      <c r="E1404" s="976"/>
      <c r="F1404" s="988" t="str">
        <f>VLOOKUP($B1404,DG!A:D,DG!$C$2,)</f>
        <v xml:space="preserve">Móc treo chữ U </v>
      </c>
      <c r="G1404" s="976" t="str">
        <f>VLOOKUP($B1404,DG!A:D,DG!$D$2,)</f>
        <v>cái</v>
      </c>
      <c r="H1404" s="1689">
        <f t="shared" si="269"/>
        <v>0</v>
      </c>
      <c r="I1404" s="1689">
        <f t="shared" si="269"/>
        <v>0</v>
      </c>
      <c r="J1404" s="1689">
        <f t="shared" si="269"/>
        <v>0</v>
      </c>
      <c r="K1404" s="1689">
        <f t="shared" si="269"/>
        <v>0</v>
      </c>
      <c r="L1404" s="1689">
        <f t="shared" si="269"/>
        <v>0</v>
      </c>
      <c r="M1404" s="1689">
        <f t="shared" si="269"/>
        <v>0</v>
      </c>
      <c r="N1404" s="1689">
        <f t="shared" si="269"/>
        <v>0</v>
      </c>
      <c r="O1404" s="1689"/>
      <c r="P1404" s="1689"/>
      <c r="Q1404" s="985"/>
      <c r="R1404" s="985"/>
      <c r="S1404" s="985"/>
      <c r="T1404" s="1858">
        <f t="shared" si="264"/>
        <v>0</v>
      </c>
    </row>
    <row r="1405" spans="1:20" ht="22.2" hidden="1" customHeight="1">
      <c r="A1405" s="1444">
        <f>COUNTIF($C$12:C1405,"x")</f>
        <v>41</v>
      </c>
      <c r="B1405" s="1467" t="s">
        <v>1891</v>
      </c>
      <c r="C1405" s="966" t="str">
        <f t="shared" si="265"/>
        <v xml:space="preserve"> </v>
      </c>
      <c r="D1405" s="1411">
        <v>2</v>
      </c>
      <c r="E1405" s="976"/>
      <c r="F1405" s="988" t="str">
        <f>VLOOKUP($B1405,DG!A:D,DG!$C$2,)</f>
        <v>Boulon 16x100VRS+ 4 long đền vuông D18-50x50x3/Zn</v>
      </c>
      <c r="G1405" s="976" t="str">
        <f>VLOOKUP($B1405,DG!A:D,DG!$D$2,)</f>
        <v>bộ</v>
      </c>
      <c r="H1405" s="1689">
        <f t="shared" si="269"/>
        <v>0</v>
      </c>
      <c r="I1405" s="1689">
        <f t="shared" si="269"/>
        <v>0</v>
      </c>
      <c r="J1405" s="1689">
        <f t="shared" si="269"/>
        <v>0</v>
      </c>
      <c r="K1405" s="1689">
        <f t="shared" si="269"/>
        <v>0</v>
      </c>
      <c r="L1405" s="1689">
        <f t="shared" si="269"/>
        <v>0</v>
      </c>
      <c r="M1405" s="1689">
        <f t="shared" si="269"/>
        <v>0</v>
      </c>
      <c r="N1405" s="1689">
        <f t="shared" si="269"/>
        <v>0</v>
      </c>
      <c r="O1405" s="1689"/>
      <c r="P1405" s="1689"/>
      <c r="Q1405" s="985"/>
      <c r="R1405" s="985"/>
      <c r="S1405" s="985"/>
      <c r="T1405" s="1858">
        <f t="shared" si="264"/>
        <v>0</v>
      </c>
    </row>
    <row r="1406" spans="1:20" ht="22.2" hidden="1" customHeight="1">
      <c r="A1406" s="1444">
        <f>COUNTIF($C$12:C1406,"x")</f>
        <v>41</v>
      </c>
      <c r="B1406" s="1451" t="s">
        <v>2000</v>
      </c>
      <c r="C1406" s="966" t="str">
        <f t="shared" si="265"/>
        <v xml:space="preserve"> </v>
      </c>
      <c r="D1406" s="1411">
        <v>2</v>
      </c>
      <c r="E1406" s="976"/>
      <c r="F1406" s="988" t="str">
        <f>VLOOKUP($B1406,DG!A:D,DG!$C$2,)</f>
        <v>Yếm cáp dày 2mm</v>
      </c>
      <c r="G1406" s="976" t="str">
        <f>VLOOKUP($B1406,DG!A:D,DG!$D$2,)</f>
        <v>cái</v>
      </c>
      <c r="H1406" s="1689">
        <f t="shared" si="269"/>
        <v>0</v>
      </c>
      <c r="I1406" s="1689">
        <f t="shared" si="269"/>
        <v>0</v>
      </c>
      <c r="J1406" s="1689">
        <f t="shared" si="269"/>
        <v>0</v>
      </c>
      <c r="K1406" s="1689">
        <f t="shared" si="269"/>
        <v>0</v>
      </c>
      <c r="L1406" s="1689">
        <f t="shared" si="269"/>
        <v>0</v>
      </c>
      <c r="M1406" s="1689">
        <f t="shared" si="269"/>
        <v>0</v>
      </c>
      <c r="N1406" s="1689">
        <f t="shared" si="269"/>
        <v>0</v>
      </c>
      <c r="O1406" s="1689"/>
      <c r="P1406" s="1689"/>
      <c r="Q1406" s="985"/>
      <c r="R1406" s="985"/>
      <c r="S1406" s="985"/>
      <c r="T1406" s="1858">
        <f t="shared" si="264"/>
        <v>0</v>
      </c>
    </row>
    <row r="1407" spans="1:20" ht="22.2" hidden="1" customHeight="1">
      <c r="A1407" s="1444">
        <f>COUNTIF($C$12:C1407,"x")</f>
        <v>41</v>
      </c>
      <c r="B1407" s="1451" t="s">
        <v>1918</v>
      </c>
      <c r="C1407" s="966" t="str">
        <f t="shared" si="265"/>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70">IFERROR(HLOOKUP(B1407,BangKeTru,3,0),0)</f>
        <v>0</v>
      </c>
    </row>
    <row r="1408" spans="1:20" ht="22.2" hidden="1" customHeight="1">
      <c r="A1408" s="1444">
        <f>COUNTIF($C$12:C1408,"x")</f>
        <v>41</v>
      </c>
      <c r="B1408" s="1451" t="s">
        <v>681</v>
      </c>
      <c r="C1408" s="966" t="str">
        <f t="shared" si="265"/>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70"/>
        <v>0</v>
      </c>
    </row>
    <row r="1409" spans="1:20" ht="22.2" hidden="1" customHeight="1">
      <c r="A1409" s="1444">
        <f>COUNTIF($C$12:C1409,"x")</f>
        <v>41</v>
      </c>
      <c r="B1409" s="1460" t="s">
        <v>356</v>
      </c>
      <c r="C1409" s="966" t="str">
        <f t="shared" si="265"/>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70"/>
        <v>0</v>
      </c>
    </row>
    <row r="1410" spans="1:20" ht="22.2" hidden="1" customHeight="1">
      <c r="A1410" s="1444">
        <f>COUNTIF($C$12:C1410,"x")</f>
        <v>41</v>
      </c>
      <c r="B1410" s="1448" t="s">
        <v>1090</v>
      </c>
      <c r="C1410" s="966" t="str">
        <f t="shared" si="265"/>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2" hidden="1" customHeight="1">
      <c r="A1411" s="1444">
        <f>COUNTIF($C$12:C1411,"x")</f>
        <v>41</v>
      </c>
      <c r="B1411" s="1451" t="s">
        <v>669</v>
      </c>
      <c r="C1411" s="966" t="str">
        <f t="shared" si="265"/>
        <v xml:space="preserve"> </v>
      </c>
      <c r="D1411" s="1411">
        <v>2</v>
      </c>
      <c r="E1411" s="976"/>
      <c r="F1411" s="988" t="str">
        <f>VLOOKUP($B1411,DG!A:D,DG!$C$2,)&amp;"-Fe8x100 nhuùng keõm"</f>
        <v>Cổ dê Ø 195 nẹp trụ-Fe8x100 nhuùng keõm</v>
      </c>
      <c r="G1411" s="976" t="str">
        <f>VLOOKUP($B1411,DG!A:D,DG!$D$2,)</f>
        <v>bộ</v>
      </c>
      <c r="H1411" s="1689">
        <f t="shared" ref="H1411:N1418" si="271">H$1410*$D1411</f>
        <v>0</v>
      </c>
      <c r="I1411" s="1689">
        <f t="shared" si="271"/>
        <v>0</v>
      </c>
      <c r="J1411" s="1689">
        <f t="shared" si="271"/>
        <v>0</v>
      </c>
      <c r="K1411" s="1689">
        <f t="shared" si="271"/>
        <v>0</v>
      </c>
      <c r="L1411" s="1689">
        <f t="shared" si="271"/>
        <v>0</v>
      </c>
      <c r="M1411" s="1689">
        <f t="shared" si="271"/>
        <v>0</v>
      </c>
      <c r="N1411" s="1689">
        <f t="shared" si="271"/>
        <v>0</v>
      </c>
      <c r="O1411" s="1689"/>
      <c r="P1411" s="1689"/>
      <c r="Q1411" s="985"/>
      <c r="R1411" s="985"/>
      <c r="S1411" s="985"/>
      <c r="T1411" s="1858">
        <f t="shared" si="270"/>
        <v>0</v>
      </c>
    </row>
    <row r="1412" spans="1:20" ht="22.2" hidden="1" customHeight="1">
      <c r="A1412" s="1444">
        <f>COUNTIF($C$12:C1412,"x")</f>
        <v>41</v>
      </c>
      <c r="B1412" s="1451" t="s">
        <v>111</v>
      </c>
      <c r="C1412" s="966" t="str">
        <f t="shared" si="265"/>
        <v xml:space="preserve"> </v>
      </c>
      <c r="D1412" s="1411">
        <v>4</v>
      </c>
      <c r="E1412" s="976"/>
      <c r="F1412" s="988" t="str">
        <f>VLOOKUP($B1412,DG!A:D,DG!$C$2,)</f>
        <v>Sứ chằng</v>
      </c>
      <c r="G1412" s="976" t="str">
        <f>VLOOKUP($B1412,DG!A:D,DG!$D$2,)</f>
        <v>cái</v>
      </c>
      <c r="H1412" s="1689">
        <f t="shared" si="271"/>
        <v>0</v>
      </c>
      <c r="I1412" s="1689">
        <f t="shared" si="271"/>
        <v>0</v>
      </c>
      <c r="J1412" s="1689">
        <f t="shared" si="271"/>
        <v>0</v>
      </c>
      <c r="K1412" s="1689">
        <f t="shared" si="271"/>
        <v>0</v>
      </c>
      <c r="L1412" s="1689">
        <f t="shared" si="271"/>
        <v>0</v>
      </c>
      <c r="M1412" s="1689">
        <f t="shared" si="271"/>
        <v>0</v>
      </c>
      <c r="N1412" s="1689">
        <f t="shared" si="271"/>
        <v>0</v>
      </c>
      <c r="O1412" s="1689"/>
      <c r="P1412" s="1689"/>
      <c r="Q1412" s="985"/>
      <c r="R1412" s="985"/>
      <c r="S1412" s="985"/>
      <c r="T1412" s="1858">
        <f t="shared" si="270"/>
        <v>0</v>
      </c>
    </row>
    <row r="1413" spans="1:20" ht="22.2" hidden="1" customHeight="1">
      <c r="A1413" s="1444">
        <f>COUNTIF($C$12:C1413,"x")</f>
        <v>41</v>
      </c>
      <c r="B1413" s="1451" t="s">
        <v>1578</v>
      </c>
      <c r="C1413" s="966" t="str">
        <f t="shared" si="265"/>
        <v xml:space="preserve"> </v>
      </c>
      <c r="D1413" s="1411">
        <v>24</v>
      </c>
      <c r="E1413" s="976"/>
      <c r="F1413" s="988" t="str">
        <f>VLOOKUP($B1413,DG!A:D,DG!$C$2,)</f>
        <v>Kẹp cáp 3 boulon</v>
      </c>
      <c r="G1413" s="976" t="str">
        <f>VLOOKUP($B1413,DG!A:D,DG!$D$2,)</f>
        <v>cái</v>
      </c>
      <c r="H1413" s="1689">
        <f t="shared" si="271"/>
        <v>0</v>
      </c>
      <c r="I1413" s="1689">
        <f t="shared" si="271"/>
        <v>0</v>
      </c>
      <c r="J1413" s="1689">
        <f t="shared" si="271"/>
        <v>0</v>
      </c>
      <c r="K1413" s="1689">
        <f t="shared" si="271"/>
        <v>0</v>
      </c>
      <c r="L1413" s="1689">
        <f t="shared" si="271"/>
        <v>0</v>
      </c>
      <c r="M1413" s="1689">
        <f t="shared" si="271"/>
        <v>0</v>
      </c>
      <c r="N1413" s="1689">
        <f t="shared" si="271"/>
        <v>0</v>
      </c>
      <c r="O1413" s="1689"/>
      <c r="P1413" s="1689"/>
      <c r="Q1413" s="985"/>
      <c r="R1413" s="985"/>
      <c r="S1413" s="985"/>
      <c r="T1413" s="1858">
        <f t="shared" si="270"/>
        <v>0</v>
      </c>
    </row>
    <row r="1414" spans="1:20" ht="22.2" hidden="1" customHeight="1">
      <c r="A1414" s="1444">
        <f>COUNTIF($C$12:C1414,"x")</f>
        <v>41</v>
      </c>
      <c r="B1414" s="1466" t="s">
        <v>1049</v>
      </c>
      <c r="C1414" s="966" t="str">
        <f t="shared" si="265"/>
        <v xml:space="preserve"> </v>
      </c>
      <c r="D1414" s="1411">
        <v>12</v>
      </c>
      <c r="E1414" s="976"/>
      <c r="F1414" s="988" t="str">
        <f>VLOOKUP($B1414,DG!A:D,DG!$C$2,)</f>
        <v>Kẹp hotline 4/0</v>
      </c>
      <c r="G1414" s="976" t="str">
        <f>VLOOKUP($B1414,DG!A:D,DG!$D$2,)</f>
        <v>cái</v>
      </c>
      <c r="H1414" s="1689">
        <f t="shared" si="271"/>
        <v>0</v>
      </c>
      <c r="I1414" s="1689">
        <f t="shared" si="271"/>
        <v>0</v>
      </c>
      <c r="J1414" s="1689">
        <f t="shared" si="271"/>
        <v>0</v>
      </c>
      <c r="K1414" s="1689">
        <f t="shared" si="271"/>
        <v>0</v>
      </c>
      <c r="L1414" s="1689">
        <f t="shared" si="271"/>
        <v>0</v>
      </c>
      <c r="M1414" s="1689">
        <f t="shared" si="271"/>
        <v>0</v>
      </c>
      <c r="N1414" s="1689">
        <f t="shared" si="271"/>
        <v>0</v>
      </c>
      <c r="O1414" s="1689"/>
      <c r="P1414" s="1689"/>
      <c r="Q1414" s="985"/>
      <c r="R1414" s="985"/>
      <c r="S1414" s="985"/>
      <c r="T1414" s="1858">
        <f t="shared" si="270"/>
        <v>0</v>
      </c>
    </row>
    <row r="1415" spans="1:20" ht="22.2" hidden="1" customHeight="1">
      <c r="A1415" s="1444">
        <f>COUNTIF($C$12:C1415,"x")</f>
        <v>41</v>
      </c>
      <c r="B1415" s="1451" t="s">
        <v>279</v>
      </c>
      <c r="C1415" s="966" t="str">
        <f t="shared" ref="C1415:C1478" si="272">IF(OR(P1415&lt;&gt;0,H1415&lt;&gt;0),"x"," ")</f>
        <v xml:space="preserve"> </v>
      </c>
      <c r="D1415" s="1411">
        <v>8</v>
      </c>
      <c r="E1415" s="976"/>
      <c r="F1415" s="988" t="str">
        <f>VLOOKUP($B1415,DG!A:D,DG!$C$2,)</f>
        <v>Sắt dẹt 60 x 6</v>
      </c>
      <c r="G1415" s="976" t="str">
        <f>VLOOKUP($B1415,DG!A:D,DG!$D$2,)</f>
        <v>kg</v>
      </c>
      <c r="H1415" s="1689">
        <f t="shared" si="271"/>
        <v>0</v>
      </c>
      <c r="I1415" s="1689">
        <f t="shared" si="271"/>
        <v>0</v>
      </c>
      <c r="J1415" s="1689">
        <f t="shared" si="271"/>
        <v>0</v>
      </c>
      <c r="K1415" s="1689">
        <f t="shared" si="271"/>
        <v>0</v>
      </c>
      <c r="L1415" s="1689">
        <f t="shared" si="271"/>
        <v>0</v>
      </c>
      <c r="M1415" s="1689">
        <f t="shared" si="271"/>
        <v>0</v>
      </c>
      <c r="N1415" s="1689">
        <f t="shared" si="271"/>
        <v>0</v>
      </c>
      <c r="O1415" s="1689"/>
      <c r="P1415" s="1689"/>
      <c r="Q1415" s="985"/>
      <c r="R1415" s="985"/>
      <c r="S1415" s="985"/>
      <c r="T1415" s="1858">
        <f t="shared" si="270"/>
        <v>0</v>
      </c>
    </row>
    <row r="1416" spans="1:20" ht="22.2" hidden="1" customHeight="1">
      <c r="A1416" s="1444">
        <f>COUNTIF($C$12:C1416,"x")</f>
        <v>41</v>
      </c>
      <c r="B1416" s="1451" t="s">
        <v>1371</v>
      </c>
      <c r="C1416" s="966" t="str">
        <f t="shared" si="272"/>
        <v xml:space="preserve"> </v>
      </c>
      <c r="D1416" s="1411">
        <v>6</v>
      </c>
      <c r="E1416" s="976"/>
      <c r="F1416" s="988" t="str">
        <f>VLOOKUP($B1416,DG!A:D,DG!$C$2,)</f>
        <v xml:space="preserve">Móc treo chữ U </v>
      </c>
      <c r="G1416" s="976" t="str">
        <f>VLOOKUP($B1416,DG!A:D,DG!$D$2,)</f>
        <v>cái</v>
      </c>
      <c r="H1416" s="1689">
        <f t="shared" si="271"/>
        <v>0</v>
      </c>
      <c r="I1416" s="1689">
        <f t="shared" si="271"/>
        <v>0</v>
      </c>
      <c r="J1416" s="1689">
        <f t="shared" si="271"/>
        <v>0</v>
      </c>
      <c r="K1416" s="1689">
        <f t="shared" si="271"/>
        <v>0</v>
      </c>
      <c r="L1416" s="1689">
        <f t="shared" si="271"/>
        <v>0</v>
      </c>
      <c r="M1416" s="1689">
        <f t="shared" si="271"/>
        <v>0</v>
      </c>
      <c r="N1416" s="1689">
        <f t="shared" si="271"/>
        <v>0</v>
      </c>
      <c r="O1416" s="1689"/>
      <c r="P1416" s="1689"/>
      <c r="Q1416" s="985"/>
      <c r="R1416" s="985"/>
      <c r="S1416" s="985"/>
      <c r="T1416" s="1858">
        <f t="shared" si="270"/>
        <v>0</v>
      </c>
    </row>
    <row r="1417" spans="1:20" ht="22.2" hidden="1" customHeight="1">
      <c r="A1417" s="1444">
        <f>COUNTIF($C$12:C1417,"x")</f>
        <v>41</v>
      </c>
      <c r="B1417" s="1467" t="s">
        <v>1891</v>
      </c>
      <c r="C1417" s="966" t="str">
        <f t="shared" si="272"/>
        <v xml:space="preserve"> </v>
      </c>
      <c r="D1417" s="1411">
        <v>4</v>
      </c>
      <c r="E1417" s="976"/>
      <c r="F1417" s="988" t="str">
        <f>VLOOKUP($B1417,DG!A:D,DG!$C$2,)</f>
        <v>Boulon 16x100VRS+ 4 long đền vuông D18-50x50x3/Zn</v>
      </c>
      <c r="G1417" s="976" t="str">
        <f>VLOOKUP($B1417,DG!A:D,DG!$D$2,)</f>
        <v>bộ</v>
      </c>
      <c r="H1417" s="1689">
        <f t="shared" si="271"/>
        <v>0</v>
      </c>
      <c r="I1417" s="1689">
        <f t="shared" si="271"/>
        <v>0</v>
      </c>
      <c r="J1417" s="1689">
        <f t="shared" si="271"/>
        <v>0</v>
      </c>
      <c r="K1417" s="1689">
        <f t="shared" si="271"/>
        <v>0</v>
      </c>
      <c r="L1417" s="1689">
        <f t="shared" si="271"/>
        <v>0</v>
      </c>
      <c r="M1417" s="1689">
        <f t="shared" si="271"/>
        <v>0</v>
      </c>
      <c r="N1417" s="1689">
        <f t="shared" si="271"/>
        <v>0</v>
      </c>
      <c r="O1417" s="1689"/>
      <c r="P1417" s="1689"/>
      <c r="Q1417" s="985"/>
      <c r="R1417" s="985"/>
      <c r="S1417" s="985"/>
      <c r="T1417" s="1858">
        <f t="shared" si="270"/>
        <v>0</v>
      </c>
    </row>
    <row r="1418" spans="1:20" ht="22.2" hidden="1" customHeight="1">
      <c r="A1418" s="1444">
        <f>COUNTIF($C$12:C1418,"x")</f>
        <v>41</v>
      </c>
      <c r="B1418" s="1451" t="s">
        <v>2000</v>
      </c>
      <c r="C1418" s="966" t="str">
        <f t="shared" si="272"/>
        <v xml:space="preserve"> </v>
      </c>
      <c r="D1418" s="1411">
        <v>4</v>
      </c>
      <c r="E1418" s="976"/>
      <c r="F1418" s="988" t="str">
        <f>VLOOKUP($B1418,DG!A:D,DG!$C$2,)</f>
        <v>Yếm cáp dày 2mm</v>
      </c>
      <c r="G1418" s="976" t="str">
        <f>VLOOKUP($B1418,DG!A:D,DG!$D$2,)</f>
        <v>cái</v>
      </c>
      <c r="H1418" s="1689">
        <f t="shared" si="271"/>
        <v>0</v>
      </c>
      <c r="I1418" s="1689">
        <f t="shared" si="271"/>
        <v>0</v>
      </c>
      <c r="J1418" s="1689">
        <f t="shared" si="271"/>
        <v>0</v>
      </c>
      <c r="K1418" s="1689">
        <f t="shared" si="271"/>
        <v>0</v>
      </c>
      <c r="L1418" s="1689">
        <f t="shared" si="271"/>
        <v>0</v>
      </c>
      <c r="M1418" s="1689">
        <f t="shared" si="271"/>
        <v>0</v>
      </c>
      <c r="N1418" s="1689">
        <f t="shared" si="271"/>
        <v>0</v>
      </c>
      <c r="O1418" s="1689"/>
      <c r="P1418" s="1689"/>
      <c r="Q1418" s="985"/>
      <c r="R1418" s="985"/>
      <c r="S1418" s="985"/>
      <c r="T1418" s="1858">
        <f t="shared" si="270"/>
        <v>0</v>
      </c>
    </row>
    <row r="1419" spans="1:20" ht="22.2" hidden="1" customHeight="1">
      <c r="A1419" s="1444">
        <f>COUNTIF($C$12:C1419,"x")</f>
        <v>41</v>
      </c>
      <c r="B1419" s="1451" t="s">
        <v>1918</v>
      </c>
      <c r="C1419" s="966" t="str">
        <f t="shared" si="272"/>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70"/>
        <v>0</v>
      </c>
    </row>
    <row r="1420" spans="1:20" ht="22.2" hidden="1" customHeight="1">
      <c r="A1420" s="1444">
        <f>COUNTIF($C$12:C1420,"x")</f>
        <v>41</v>
      </c>
      <c r="B1420" s="1451" t="s">
        <v>681</v>
      </c>
      <c r="C1420" s="966" t="str">
        <f t="shared" si="272"/>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70"/>
        <v>0</v>
      </c>
    </row>
    <row r="1421" spans="1:20" ht="22.2" hidden="1" customHeight="1">
      <c r="A1421" s="1444">
        <f>COUNTIF($C$12:C1421,"x")</f>
        <v>41</v>
      </c>
      <c r="B1421" s="1460" t="s">
        <v>356</v>
      </c>
      <c r="C1421" s="966" t="str">
        <f t="shared" si="272"/>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70"/>
        <v>0</v>
      </c>
    </row>
    <row r="1422" spans="1:20" ht="22.2" hidden="1" customHeight="1">
      <c r="A1422" s="1444">
        <f>COUNTIF($C$12:C1422,"x")</f>
        <v>41</v>
      </c>
      <c r="B1422" s="1448" t="s">
        <v>1492</v>
      </c>
      <c r="C1422" s="1697" t="str">
        <f t="shared" si="272"/>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2" hidden="1" customHeight="1">
      <c r="A1423" s="1444">
        <f>COUNTIF($C$12:C1423,"x")</f>
        <v>41</v>
      </c>
      <c r="B1423" s="1447" t="s">
        <v>536</v>
      </c>
      <c r="C1423" s="1697" t="str">
        <f t="shared" si="272"/>
        <v xml:space="preserve"> </v>
      </c>
      <c r="D1423" s="1411">
        <v>1</v>
      </c>
      <c r="E1423" s="976"/>
      <c r="F1423" s="988" t="str">
        <f>VLOOKUP($B1423,DG!A:D,DG!$C$2,)</f>
        <v>Ty neo Ø22x2400</v>
      </c>
      <c r="G1423" s="976" t="str">
        <f>VLOOKUP($B1423,DG!A:D,DG!$D$2,)</f>
        <v>cái</v>
      </c>
      <c r="H1423" s="1689">
        <f t="shared" ref="H1423:N1424" si="273">H$1422*$D1423</f>
        <v>0</v>
      </c>
      <c r="I1423" s="1689">
        <f t="shared" si="273"/>
        <v>0</v>
      </c>
      <c r="J1423" s="1689">
        <f t="shared" si="273"/>
        <v>0</v>
      </c>
      <c r="K1423" s="1689">
        <f t="shared" si="273"/>
        <v>0</v>
      </c>
      <c r="L1423" s="1689">
        <f t="shared" si="273"/>
        <v>0</v>
      </c>
      <c r="M1423" s="1689">
        <f t="shared" si="273"/>
        <v>0</v>
      </c>
      <c r="N1423" s="1689">
        <f t="shared" si="273"/>
        <v>0</v>
      </c>
      <c r="O1423" s="1689"/>
      <c r="P1423" s="1689">
        <f>$P$1422*D1423</f>
        <v>0</v>
      </c>
      <c r="Q1423" s="985"/>
      <c r="R1423" s="985">
        <f>$R$1422*D1423</f>
        <v>0</v>
      </c>
      <c r="S1423" s="985"/>
      <c r="T1423" s="1858">
        <f t="shared" si="270"/>
        <v>0</v>
      </c>
    </row>
    <row r="1424" spans="1:20" ht="22.2" hidden="1" customHeight="1">
      <c r="A1424" s="1444">
        <f>COUNTIF($C$12:C1424,"x")</f>
        <v>41</v>
      </c>
      <c r="B1424" s="1447" t="s">
        <v>1289</v>
      </c>
      <c r="C1424" s="1697" t="str">
        <f t="shared" si="272"/>
        <v xml:space="preserve"> </v>
      </c>
      <c r="D1424" s="1411">
        <v>1</v>
      </c>
      <c r="E1424" s="976" t="str">
        <f>VLOOKUP($B1424,DG!A:D,DG!$B$2,)</f>
        <v>04.4001</v>
      </c>
      <c r="F1424" s="988" t="str">
        <f>VLOOKUP($B1424,DG!A:D,DG!$C$2,)</f>
        <v>Neo xòe 8 hướng (dày 3,2mm)</v>
      </c>
      <c r="G1424" s="976" t="str">
        <f>VLOOKUP($B1424,DG!A:D,DG!$D$2,)</f>
        <v>cái</v>
      </c>
      <c r="H1424" s="1689">
        <f t="shared" si="273"/>
        <v>0</v>
      </c>
      <c r="I1424" s="1689">
        <f t="shared" si="273"/>
        <v>0</v>
      </c>
      <c r="J1424" s="1689">
        <f t="shared" si="273"/>
        <v>0</v>
      </c>
      <c r="K1424" s="1689">
        <f t="shared" si="273"/>
        <v>0</v>
      </c>
      <c r="L1424" s="1689">
        <f t="shared" si="273"/>
        <v>0</v>
      </c>
      <c r="M1424" s="1689">
        <f t="shared" si="273"/>
        <v>0</v>
      </c>
      <c r="N1424" s="1689">
        <f t="shared" si="273"/>
        <v>0</v>
      </c>
      <c r="O1424" s="1689"/>
      <c r="P1424" s="1689">
        <f>$P$1422*D1424</f>
        <v>0</v>
      </c>
      <c r="Q1424" s="985"/>
      <c r="R1424" s="985">
        <f>$R$1422*D1424</f>
        <v>0</v>
      </c>
      <c r="S1424" s="985"/>
      <c r="T1424" s="1858">
        <f t="shared" si="270"/>
        <v>0</v>
      </c>
    </row>
    <row r="1425" spans="1:20" ht="22.2" hidden="1" customHeight="1">
      <c r="A1425" s="1444">
        <f>COUNTIF($C$12:C1425,"x")</f>
        <v>41</v>
      </c>
      <c r="B1425" s="1447" t="s">
        <v>639</v>
      </c>
      <c r="C1425" s="1697" t="str">
        <f t="shared" si="272"/>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70"/>
        <v>0</v>
      </c>
    </row>
    <row r="1426" spans="1:20" ht="22.2" hidden="1" customHeight="1">
      <c r="A1426" s="1444">
        <f>COUNTIF($C$12:C1426,"x")</f>
        <v>41</v>
      </c>
      <c r="B1426" s="1447" t="s">
        <v>21</v>
      </c>
      <c r="C1426" s="1697" t="str">
        <f t="shared" si="272"/>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70"/>
        <v>0</v>
      </c>
    </row>
    <row r="1427" spans="1:20" ht="22.2" hidden="1" customHeight="1">
      <c r="A1427" s="1444">
        <f>COUNTIF($C$12:C1427,"x")</f>
        <v>41</v>
      </c>
      <c r="B1427" s="1451" t="s">
        <v>747</v>
      </c>
      <c r="C1427" s="966" t="str">
        <f t="shared" si="272"/>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70"/>
        <v>0</v>
      </c>
    </row>
    <row r="1428" spans="1:20" ht="22.2" hidden="1" customHeight="1">
      <c r="A1428" s="1444">
        <f>COUNTIF($C$12:C1428,"x")</f>
        <v>41</v>
      </c>
      <c r="B1428" s="1451" t="s">
        <v>1289</v>
      </c>
      <c r="C1428" s="966" t="str">
        <f t="shared" si="272"/>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70"/>
        <v>0</v>
      </c>
    </row>
    <row r="1429" spans="1:20" ht="22.2" hidden="1" customHeight="1">
      <c r="A1429" s="1444">
        <f>COUNTIF($C$12:C1429,"x")</f>
        <v>41</v>
      </c>
      <c r="B1429" s="1460" t="s">
        <v>606</v>
      </c>
      <c r="C1429" s="966" t="str">
        <f t="shared" si="272"/>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70"/>
        <v>0</v>
      </c>
    </row>
    <row r="1430" spans="1:20" ht="22.2" hidden="1" customHeight="1">
      <c r="A1430" s="1444">
        <f>COUNTIF($C$12:C1430,"x")</f>
        <v>41</v>
      </c>
      <c r="B1430" s="1448" t="s">
        <v>1493</v>
      </c>
      <c r="C1430" s="966" t="str">
        <f t="shared" si="272"/>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2" hidden="1" customHeight="1">
      <c r="A1431" s="1444">
        <f>COUNTIF($C$12:C1431,"x")</f>
        <v>41</v>
      </c>
      <c r="B1431" s="1447" t="s">
        <v>536</v>
      </c>
      <c r="C1431" s="966" t="str">
        <f t="shared" si="272"/>
        <v xml:space="preserve"> </v>
      </c>
      <c r="D1431" s="1411">
        <v>1</v>
      </c>
      <c r="E1431" s="976"/>
      <c r="F1431" s="988" t="str">
        <f>VLOOKUP($B1431,DG!A:D,DG!$C$2,)</f>
        <v>Ty neo Ø22x2400</v>
      </c>
      <c r="G1431" s="976" t="str">
        <f>VLOOKUP($B1431,DG!A:D,DG!$D$2,)</f>
        <v>cái</v>
      </c>
      <c r="H1431" s="1689">
        <f t="shared" ref="H1431:N1432" si="274">H$1430*$D1431</f>
        <v>0</v>
      </c>
      <c r="I1431" s="1689">
        <f t="shared" si="274"/>
        <v>0</v>
      </c>
      <c r="J1431" s="1689">
        <f t="shared" si="274"/>
        <v>0</v>
      </c>
      <c r="K1431" s="1689">
        <f t="shared" si="274"/>
        <v>0</v>
      </c>
      <c r="L1431" s="1689">
        <f t="shared" si="274"/>
        <v>0</v>
      </c>
      <c r="M1431" s="1689">
        <f t="shared" si="274"/>
        <v>0</v>
      </c>
      <c r="N1431" s="1689">
        <f t="shared" si="274"/>
        <v>0</v>
      </c>
      <c r="O1431" s="1689"/>
      <c r="P1431" s="1689">
        <f>$P$1430*D1431</f>
        <v>0</v>
      </c>
      <c r="Q1431" s="985">
        <f>$Q$1430*D1431</f>
        <v>0</v>
      </c>
      <c r="R1431" s="985"/>
      <c r="S1431" s="985"/>
      <c r="T1431" s="1858">
        <f t="shared" si="270"/>
        <v>0</v>
      </c>
    </row>
    <row r="1432" spans="1:20" ht="22.2" hidden="1" customHeight="1">
      <c r="A1432" s="1444">
        <f>COUNTIF($C$12:C1432,"x")</f>
        <v>41</v>
      </c>
      <c r="B1432" s="1447" t="s">
        <v>1289</v>
      </c>
      <c r="C1432" s="966" t="str">
        <f t="shared" si="272"/>
        <v xml:space="preserve"> </v>
      </c>
      <c r="D1432" s="1411">
        <v>1</v>
      </c>
      <c r="E1432" s="976" t="str">
        <f>VLOOKUP($B1432,DG!A:D,DG!$B$2,)</f>
        <v>04.4001</v>
      </c>
      <c r="F1432" s="988" t="str">
        <f>VLOOKUP($B1432,DG!A:D,DG!$C$2,)</f>
        <v>Neo xòe 8 hướng (dày 3,2mm)</v>
      </c>
      <c r="G1432" s="976" t="str">
        <f>VLOOKUP($B1432,DG!A:D,DG!$D$2,)</f>
        <v>cái</v>
      </c>
      <c r="H1432" s="1689">
        <f t="shared" si="274"/>
        <v>0</v>
      </c>
      <c r="I1432" s="1689">
        <f t="shared" si="274"/>
        <v>0</v>
      </c>
      <c r="J1432" s="1689">
        <f t="shared" si="274"/>
        <v>0</v>
      </c>
      <c r="K1432" s="1689">
        <f t="shared" si="274"/>
        <v>0</v>
      </c>
      <c r="L1432" s="1689">
        <f t="shared" si="274"/>
        <v>0</v>
      </c>
      <c r="M1432" s="1689">
        <f t="shared" si="274"/>
        <v>0</v>
      </c>
      <c r="N1432" s="1689">
        <f t="shared" si="274"/>
        <v>0</v>
      </c>
      <c r="O1432" s="1689"/>
      <c r="P1432" s="1689">
        <f>$P$1430*D1432</f>
        <v>0</v>
      </c>
      <c r="Q1432" s="985">
        <f>$Q$1430*D1432</f>
        <v>0</v>
      </c>
      <c r="R1432" s="985"/>
      <c r="S1432" s="985"/>
      <c r="T1432" s="1858">
        <f t="shared" si="270"/>
        <v>0</v>
      </c>
    </row>
    <row r="1433" spans="1:20" ht="22.2" hidden="1" customHeight="1">
      <c r="A1433" s="1444">
        <f>COUNTIF($C$12:C1433,"x")</f>
        <v>41</v>
      </c>
      <c r="B1433" s="1447" t="s">
        <v>639</v>
      </c>
      <c r="C1433" s="966" t="str">
        <f t="shared" si="272"/>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70"/>
        <v>0</v>
      </c>
    </row>
    <row r="1434" spans="1:20" ht="22.2" hidden="1" customHeight="1">
      <c r="A1434" s="1444">
        <f>COUNTIF($C$12:C1434,"x")</f>
        <v>41</v>
      </c>
      <c r="B1434" s="1447" t="s">
        <v>21</v>
      </c>
      <c r="C1434" s="966" t="str">
        <f t="shared" si="272"/>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70"/>
        <v>0</v>
      </c>
    </row>
    <row r="1435" spans="1:20" ht="22.2" hidden="1" customHeight="1">
      <c r="A1435" s="1444">
        <f>COUNTIF($C$12:C1435,"x")</f>
        <v>41</v>
      </c>
      <c r="B1435" s="1451" t="s">
        <v>747</v>
      </c>
      <c r="C1435" s="966" t="str">
        <f t="shared" si="272"/>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70"/>
        <v>0</v>
      </c>
    </row>
    <row r="1436" spans="1:20" ht="22.2" hidden="1" customHeight="1">
      <c r="A1436" s="1444">
        <f>COUNTIF($C$12:C1436,"x")</f>
        <v>41</v>
      </c>
      <c r="B1436" s="1451" t="s">
        <v>1289</v>
      </c>
      <c r="C1436" s="966" t="str">
        <f t="shared" si="272"/>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70"/>
        <v>0</v>
      </c>
    </row>
    <row r="1437" spans="1:20" ht="22.2" hidden="1" customHeight="1">
      <c r="A1437" s="1444">
        <f>COUNTIF($C$12:C1437,"x")</f>
        <v>41</v>
      </c>
      <c r="B1437" s="1460" t="s">
        <v>606</v>
      </c>
      <c r="C1437" s="966" t="str">
        <f t="shared" si="272"/>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70"/>
        <v>0</v>
      </c>
    </row>
    <row r="1438" spans="1:20" ht="22.2" hidden="1" customHeight="1">
      <c r="A1438" s="1444">
        <f>COUNTIF($C$12:C1438,"x")</f>
        <v>41</v>
      </c>
      <c r="B1438" s="1448" t="s">
        <v>1572</v>
      </c>
      <c r="C1438" s="966" t="str">
        <f t="shared" si="272"/>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2" hidden="1" customHeight="1">
      <c r="A1439" s="1444">
        <f>COUNTIF($C$12:C1439,"x")</f>
        <v>41</v>
      </c>
      <c r="B1439" s="1451" t="s">
        <v>1999</v>
      </c>
      <c r="C1439" s="966" t="str">
        <f t="shared" si="272"/>
        <v xml:space="preserve"> </v>
      </c>
      <c r="D1439" s="1411">
        <v>1</v>
      </c>
      <c r="E1439" s="976"/>
      <c r="F1439" s="988" t="str">
        <f>VLOOKUP($B1439,DG!A:D,DG!$C$2,)</f>
        <v>Ty neo Ø22x3000</v>
      </c>
      <c r="G1439" s="976" t="str">
        <f>VLOOKUP($B1439,DG!A:D,DG!$D$2,)</f>
        <v>cái</v>
      </c>
      <c r="H1439" s="1689">
        <f t="shared" ref="H1439:N1441" si="275">H$1438*$D1439</f>
        <v>0</v>
      </c>
      <c r="I1439" s="1689">
        <f t="shared" si="275"/>
        <v>0</v>
      </c>
      <c r="J1439" s="1689">
        <f t="shared" si="275"/>
        <v>0</v>
      </c>
      <c r="K1439" s="1689">
        <f t="shared" si="275"/>
        <v>0</v>
      </c>
      <c r="L1439" s="1689">
        <f t="shared" si="275"/>
        <v>0</v>
      </c>
      <c r="M1439" s="1689">
        <f t="shared" si="275"/>
        <v>0</v>
      </c>
      <c r="N1439" s="1689">
        <f t="shared" si="275"/>
        <v>0</v>
      </c>
      <c r="O1439" s="1689"/>
      <c r="P1439" s="1689"/>
      <c r="Q1439" s="985"/>
      <c r="R1439" s="985"/>
      <c r="S1439" s="985"/>
      <c r="T1439" s="1858">
        <f t="shared" si="270"/>
        <v>0</v>
      </c>
    </row>
    <row r="1440" spans="1:20" ht="22.2" hidden="1" customHeight="1">
      <c r="A1440" s="1444">
        <f>COUNTIF($C$12:C1440,"x")</f>
        <v>41</v>
      </c>
      <c r="B1440" s="1451" t="s">
        <v>1258</v>
      </c>
      <c r="C1440" s="966" t="str">
        <f t="shared" si="272"/>
        <v xml:space="preserve"> </v>
      </c>
      <c r="D1440" s="1411">
        <v>1</v>
      </c>
      <c r="E1440" s="976" t="str">
        <f>VLOOKUP($B1440,DG!A:D,DG!$B$2,)</f>
        <v>04.3801</v>
      </c>
      <c r="F1440" s="988" t="str">
        <f>VLOOKUP($B1440,DG!A:D,DG!$C$2,)</f>
        <v>Đế neo BTCT 200x1200</v>
      </c>
      <c r="G1440" s="976" t="str">
        <f>VLOOKUP($B1440,DG!A:D,DG!$D$2,)</f>
        <v>cái</v>
      </c>
      <c r="H1440" s="1689">
        <f t="shared" si="275"/>
        <v>0</v>
      </c>
      <c r="I1440" s="1689">
        <f t="shared" si="275"/>
        <v>0</v>
      </c>
      <c r="J1440" s="1689">
        <f t="shared" si="275"/>
        <v>0</v>
      </c>
      <c r="K1440" s="1689">
        <f t="shared" si="275"/>
        <v>0</v>
      </c>
      <c r="L1440" s="1689">
        <f t="shared" si="275"/>
        <v>0</v>
      </c>
      <c r="M1440" s="1689">
        <f t="shared" si="275"/>
        <v>0</v>
      </c>
      <c r="N1440" s="1689">
        <f t="shared" si="275"/>
        <v>0</v>
      </c>
      <c r="O1440" s="1689"/>
      <c r="P1440" s="1689"/>
      <c r="Q1440" s="985"/>
      <c r="R1440" s="985"/>
      <c r="S1440" s="985"/>
      <c r="T1440" s="1858">
        <f t="shared" si="270"/>
        <v>0</v>
      </c>
    </row>
    <row r="1441" spans="1:20" ht="22.2" hidden="1" customHeight="1">
      <c r="A1441" s="1444">
        <f>COUNTIF($C$12:C1441,"x")</f>
        <v>41</v>
      </c>
      <c r="B1441" s="1451" t="s">
        <v>1064</v>
      </c>
      <c r="C1441" s="966" t="str">
        <f t="shared" si="272"/>
        <v xml:space="preserve"> </v>
      </c>
      <c r="D1441" s="1421">
        <v>1.34</v>
      </c>
      <c r="E1441" s="976" t="str">
        <f>VLOOKUP($B1441,DG!A:D,DG!$B$2,)</f>
        <v>04.9001</v>
      </c>
      <c r="F1441" s="988" t="str">
        <f>VLOOKUP($B1441,DG!A:D,DG!$C$2,)</f>
        <v>Bitum</v>
      </c>
      <c r="G1441" s="976" t="str">
        <f>VLOOKUP($B1441,DG!A:D,DG!$D$2,)</f>
        <v>m2</v>
      </c>
      <c r="H1441" s="1689">
        <f t="shared" si="275"/>
        <v>0</v>
      </c>
      <c r="I1441" s="1689">
        <f t="shared" si="275"/>
        <v>0</v>
      </c>
      <c r="J1441" s="1689">
        <f t="shared" si="275"/>
        <v>0</v>
      </c>
      <c r="K1441" s="1689">
        <f t="shared" si="275"/>
        <v>0</v>
      </c>
      <c r="L1441" s="1689">
        <f t="shared" si="275"/>
        <v>0</v>
      </c>
      <c r="M1441" s="1689">
        <f t="shared" si="275"/>
        <v>0</v>
      </c>
      <c r="N1441" s="1689">
        <f t="shared" si="275"/>
        <v>0</v>
      </c>
      <c r="O1441" s="1689"/>
      <c r="P1441" s="1689"/>
      <c r="Q1441" s="985"/>
      <c r="R1441" s="985"/>
      <c r="S1441" s="985"/>
      <c r="T1441" s="1858">
        <f t="shared" si="270"/>
        <v>0</v>
      </c>
    </row>
    <row r="1442" spans="1:20" ht="22.2" hidden="1" customHeight="1">
      <c r="A1442" s="1444">
        <f>COUNTIF($C$12:C1442,"x")</f>
        <v>41</v>
      </c>
      <c r="B1442" s="1451" t="s">
        <v>639</v>
      </c>
      <c r="C1442" s="966" t="str">
        <f t="shared" si="272"/>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70"/>
        <v>0</v>
      </c>
    </row>
    <row r="1443" spans="1:20" ht="22.2" hidden="1" customHeight="1">
      <c r="A1443" s="1444">
        <f>COUNTIF($C$12:C1443,"x")</f>
        <v>41</v>
      </c>
      <c r="B1443" s="1451" t="s">
        <v>21</v>
      </c>
      <c r="C1443" s="966" t="str">
        <f t="shared" si="272"/>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70"/>
        <v>0</v>
      </c>
    </row>
    <row r="1444" spans="1:20" ht="22.2" hidden="1" customHeight="1">
      <c r="A1444" s="1444">
        <f>COUNTIF($C$12:C1444,"x")</f>
        <v>41</v>
      </c>
      <c r="B1444" s="1451" t="s">
        <v>637</v>
      </c>
      <c r="C1444" s="966" t="str">
        <f t="shared" si="272"/>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70"/>
        <v>0</v>
      </c>
    </row>
    <row r="1445" spans="1:20" ht="22.2" hidden="1" customHeight="1">
      <c r="A1445" s="1444">
        <f>COUNTIF($C$12:C1445,"x")</f>
        <v>41</v>
      </c>
      <c r="B1445" s="1460" t="s">
        <v>605</v>
      </c>
      <c r="C1445" s="966" t="str">
        <f t="shared" si="272"/>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70"/>
        <v>0</v>
      </c>
    </row>
    <row r="1446" spans="1:20" ht="22.2" hidden="1" customHeight="1">
      <c r="A1446" s="1444">
        <f>COUNTIF($C$12:C1446,"x")</f>
        <v>41</v>
      </c>
      <c r="B1446" s="1460" t="s">
        <v>606</v>
      </c>
      <c r="C1446" s="966" t="str">
        <f t="shared" si="272"/>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70"/>
        <v>0</v>
      </c>
    </row>
    <row r="1447" spans="1:20" ht="22.2" hidden="1" customHeight="1">
      <c r="A1447" s="1444">
        <f>COUNTIF($C$12:C1447,"x")</f>
        <v>41</v>
      </c>
      <c r="B1447" s="1448" t="s">
        <v>1091</v>
      </c>
      <c r="C1447" s="966" t="str">
        <f t="shared" si="272"/>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2" hidden="1" customHeight="1">
      <c r="A1448" s="1444">
        <f>COUNTIF($C$12:C1448,"x")</f>
        <v>41</v>
      </c>
      <c r="B1448" s="1451" t="s">
        <v>2047</v>
      </c>
      <c r="C1448" s="966" t="str">
        <f t="shared" si="272"/>
        <v xml:space="preserve"> </v>
      </c>
      <c r="D1448" s="1411">
        <v>1</v>
      </c>
      <c r="E1448" s="976"/>
      <c r="F1448" s="988" t="str">
        <f>VLOOKUP($B1448,DG!A:D,DG!$C$2,)</f>
        <v>Ty neo Ø16x1800</v>
      </c>
      <c r="G1448" s="976" t="str">
        <f>VLOOKUP($B1448,DG!A:D,DG!$D$2,)</f>
        <v>cái</v>
      </c>
      <c r="H1448" s="1689">
        <f t="shared" ref="H1448:N1450" si="276">H$1447*$D1448</f>
        <v>0</v>
      </c>
      <c r="I1448" s="1689">
        <f t="shared" si="276"/>
        <v>0</v>
      </c>
      <c r="J1448" s="1689">
        <f t="shared" si="276"/>
        <v>0</v>
      </c>
      <c r="K1448" s="1689">
        <f t="shared" si="276"/>
        <v>0</v>
      </c>
      <c r="L1448" s="1689">
        <f t="shared" si="276"/>
        <v>0</v>
      </c>
      <c r="M1448" s="1689">
        <f t="shared" si="276"/>
        <v>0</v>
      </c>
      <c r="N1448" s="1689">
        <f t="shared" si="276"/>
        <v>0</v>
      </c>
      <c r="O1448" s="1689"/>
      <c r="P1448" s="1689"/>
      <c r="Q1448" s="985"/>
      <c r="R1448" s="985"/>
      <c r="S1448" s="985"/>
      <c r="T1448" s="1858">
        <f t="shared" si="270"/>
        <v>0</v>
      </c>
    </row>
    <row r="1449" spans="1:20" ht="22.2" hidden="1" customHeight="1">
      <c r="A1449" s="1444">
        <f>COUNTIF($C$12:C1449,"x")</f>
        <v>41</v>
      </c>
      <c r="B1449" s="1451" t="s">
        <v>1258</v>
      </c>
      <c r="C1449" s="966" t="str">
        <f t="shared" si="272"/>
        <v xml:space="preserve"> </v>
      </c>
      <c r="D1449" s="1411">
        <v>1</v>
      </c>
      <c r="E1449" s="976" t="str">
        <f>VLOOKUP($B1449,DG!A:D,DG!$B$2,)</f>
        <v>04.3801</v>
      </c>
      <c r="F1449" s="988" t="str">
        <f>VLOOKUP($B1449,DG!A:D,DG!$C$2,)</f>
        <v>Đế neo BTCT 200x1200</v>
      </c>
      <c r="G1449" s="976" t="str">
        <f>VLOOKUP($B1449,DG!A:D,DG!$D$2,)</f>
        <v>cái</v>
      </c>
      <c r="H1449" s="1689">
        <f t="shared" si="276"/>
        <v>0</v>
      </c>
      <c r="I1449" s="1689">
        <f t="shared" si="276"/>
        <v>0</v>
      </c>
      <c r="J1449" s="1689">
        <f t="shared" si="276"/>
        <v>0</v>
      </c>
      <c r="K1449" s="1689">
        <f t="shared" si="276"/>
        <v>0</v>
      </c>
      <c r="L1449" s="1689">
        <f t="shared" si="276"/>
        <v>0</v>
      </c>
      <c r="M1449" s="1689">
        <f t="shared" si="276"/>
        <v>0</v>
      </c>
      <c r="N1449" s="1689">
        <f t="shared" si="276"/>
        <v>0</v>
      </c>
      <c r="O1449" s="1689"/>
      <c r="P1449" s="1689"/>
      <c r="Q1449" s="985"/>
      <c r="R1449" s="985"/>
      <c r="S1449" s="985"/>
      <c r="T1449" s="1858">
        <f t="shared" si="270"/>
        <v>0</v>
      </c>
    </row>
    <row r="1450" spans="1:20" ht="22.2" hidden="1" customHeight="1">
      <c r="A1450" s="1444">
        <f>COUNTIF($C$12:C1450,"x")</f>
        <v>41</v>
      </c>
      <c r="B1450" s="1451" t="s">
        <v>1064</v>
      </c>
      <c r="C1450" s="966" t="str">
        <f t="shared" si="272"/>
        <v xml:space="preserve"> </v>
      </c>
      <c r="D1450" s="1421">
        <v>1.34</v>
      </c>
      <c r="E1450" s="976" t="str">
        <f>VLOOKUP($B1450,DG!A:D,DG!$B$2,)</f>
        <v>04.9001</v>
      </c>
      <c r="F1450" s="988" t="str">
        <f>VLOOKUP($B1450,DG!A:D,DG!$C$2,)</f>
        <v>Bitum</v>
      </c>
      <c r="G1450" s="976" t="str">
        <f>VLOOKUP($B1450,DG!A:D,DG!$D$2,)</f>
        <v>m2</v>
      </c>
      <c r="H1450" s="1689">
        <f t="shared" si="276"/>
        <v>0</v>
      </c>
      <c r="I1450" s="1689">
        <f t="shared" si="276"/>
        <v>0</v>
      </c>
      <c r="J1450" s="1689">
        <f t="shared" si="276"/>
        <v>0</v>
      </c>
      <c r="K1450" s="1689">
        <f t="shared" si="276"/>
        <v>0</v>
      </c>
      <c r="L1450" s="1689">
        <f t="shared" si="276"/>
        <v>0</v>
      </c>
      <c r="M1450" s="1689">
        <f t="shared" si="276"/>
        <v>0</v>
      </c>
      <c r="N1450" s="1689">
        <f t="shared" si="276"/>
        <v>0</v>
      </c>
      <c r="O1450" s="1689"/>
      <c r="P1450" s="1689"/>
      <c r="Q1450" s="985"/>
      <c r="R1450" s="985"/>
      <c r="S1450" s="985"/>
      <c r="T1450" s="1858">
        <f t="shared" si="270"/>
        <v>0</v>
      </c>
    </row>
    <row r="1451" spans="1:20" ht="22.2" hidden="1" customHeight="1">
      <c r="A1451" s="1444">
        <f>COUNTIF($C$12:C1451,"x")</f>
        <v>41</v>
      </c>
      <c r="B1451" s="1451" t="s">
        <v>639</v>
      </c>
      <c r="C1451" s="966" t="str">
        <f t="shared" si="272"/>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70"/>
        <v>0</v>
      </c>
    </row>
    <row r="1452" spans="1:20" ht="22.2" hidden="1" customHeight="1">
      <c r="A1452" s="1444">
        <f>COUNTIF($C$12:C1452,"x")</f>
        <v>41</v>
      </c>
      <c r="B1452" s="1451" t="s">
        <v>21</v>
      </c>
      <c r="C1452" s="966" t="str">
        <f t="shared" si="272"/>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70"/>
        <v>0</v>
      </c>
    </row>
    <row r="1453" spans="1:20" ht="22.2" hidden="1" customHeight="1">
      <c r="A1453" s="1444">
        <f>COUNTIF($C$12:C1453,"x")</f>
        <v>41</v>
      </c>
      <c r="B1453" s="1451" t="s">
        <v>637</v>
      </c>
      <c r="C1453" s="966" t="str">
        <f t="shared" si="272"/>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70"/>
        <v>0</v>
      </c>
    </row>
    <row r="1454" spans="1:20" ht="22.2" hidden="1" customHeight="1">
      <c r="A1454" s="1444">
        <f>COUNTIF($C$12:C1454,"x")</f>
        <v>41</v>
      </c>
      <c r="B1454" s="1460" t="s">
        <v>605</v>
      </c>
      <c r="C1454" s="966" t="str">
        <f t="shared" si="272"/>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70"/>
        <v>0</v>
      </c>
    </row>
    <row r="1455" spans="1:20" ht="22.2" hidden="1" customHeight="1">
      <c r="A1455" s="1444">
        <f>COUNTIF($C$12:C1455,"x")</f>
        <v>41</v>
      </c>
      <c r="B1455" s="1460" t="s">
        <v>606</v>
      </c>
      <c r="C1455" s="966" t="str">
        <f t="shared" si="272"/>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70"/>
        <v>0</v>
      </c>
    </row>
    <row r="1456" spans="1:20" ht="22.2" hidden="1" customHeight="1">
      <c r="A1456" s="1444">
        <f>COUNTIF($C$12:C1456,"x")</f>
        <v>41</v>
      </c>
      <c r="B1456" s="1448" t="s">
        <v>2146</v>
      </c>
      <c r="C1456" s="966" t="str">
        <f t="shared" si="272"/>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2" hidden="1" customHeight="1">
      <c r="A1457" s="1444">
        <f>COUNTIF($C$12:C1457,"x")</f>
        <v>41</v>
      </c>
      <c r="B1457" s="1451" t="s">
        <v>113</v>
      </c>
      <c r="C1457" s="966" t="str">
        <f t="shared" si="272"/>
        <v xml:space="preserve"> </v>
      </c>
      <c r="D1457" s="1411">
        <v>1</v>
      </c>
      <c r="E1457" s="976"/>
      <c r="F1457" s="988" t="str">
        <f>VLOOKUP($B1457,DG!A:D,DG!$C$2,)</f>
        <v>Ty neo Ø22x3700</v>
      </c>
      <c r="G1457" s="976" t="str">
        <f>VLOOKUP($B1457,DG!A:D,DG!$D$2,)</f>
        <v>cái</v>
      </c>
      <c r="H1457" s="1689">
        <f t="shared" ref="H1457:N1459" si="277">H$1456*$D1457</f>
        <v>0</v>
      </c>
      <c r="I1457" s="1689">
        <f t="shared" si="277"/>
        <v>0</v>
      </c>
      <c r="J1457" s="1689">
        <f t="shared" si="277"/>
        <v>0</v>
      </c>
      <c r="K1457" s="1689">
        <f t="shared" si="277"/>
        <v>0</v>
      </c>
      <c r="L1457" s="1689">
        <f t="shared" si="277"/>
        <v>0</v>
      </c>
      <c r="M1457" s="1689">
        <f t="shared" si="277"/>
        <v>0</v>
      </c>
      <c r="N1457" s="1689">
        <f t="shared" si="277"/>
        <v>0</v>
      </c>
      <c r="O1457" s="1689"/>
      <c r="P1457" s="1689"/>
      <c r="Q1457" s="985"/>
      <c r="R1457" s="985"/>
      <c r="S1457" s="985"/>
      <c r="T1457" s="1858">
        <f t="shared" si="270"/>
        <v>0</v>
      </c>
    </row>
    <row r="1458" spans="1:20" ht="22.2" hidden="1" customHeight="1">
      <c r="A1458" s="1444">
        <f>COUNTIF($C$12:C1458,"x")</f>
        <v>41</v>
      </c>
      <c r="B1458" s="1451" t="s">
        <v>342</v>
      </c>
      <c r="C1458" s="966" t="str">
        <f t="shared" si="272"/>
        <v xml:space="preserve"> </v>
      </c>
      <c r="D1458" s="1411">
        <v>1</v>
      </c>
      <c r="E1458" s="976" t="str">
        <f>VLOOKUP($B1458,DG!A:D,DG!$B$2,)</f>
        <v>04.3801</v>
      </c>
      <c r="F1458" s="988" t="str">
        <f>VLOOKUP($B1458,DG!A:D,DG!$C$2,)</f>
        <v>Đế neo BTCT 400x1200</v>
      </c>
      <c r="G1458" s="976" t="str">
        <f>VLOOKUP($B1458,DG!A:D,DG!$D$2,)</f>
        <v>cái</v>
      </c>
      <c r="H1458" s="1689">
        <f t="shared" si="277"/>
        <v>0</v>
      </c>
      <c r="I1458" s="1689">
        <f t="shared" si="277"/>
        <v>0</v>
      </c>
      <c r="J1458" s="1689">
        <f t="shared" si="277"/>
        <v>0</v>
      </c>
      <c r="K1458" s="1689">
        <f t="shared" si="277"/>
        <v>0</v>
      </c>
      <c r="L1458" s="1689">
        <f t="shared" si="277"/>
        <v>0</v>
      </c>
      <c r="M1458" s="1689">
        <f t="shared" si="277"/>
        <v>0</v>
      </c>
      <c r="N1458" s="1689">
        <f t="shared" si="277"/>
        <v>0</v>
      </c>
      <c r="O1458" s="1689"/>
      <c r="P1458" s="1689"/>
      <c r="Q1458" s="985"/>
      <c r="R1458" s="985"/>
      <c r="S1458" s="985"/>
      <c r="T1458" s="1858">
        <f t="shared" si="270"/>
        <v>0</v>
      </c>
    </row>
    <row r="1459" spans="1:20" ht="22.2" hidden="1" customHeight="1">
      <c r="A1459" s="1444">
        <f>COUNTIF($C$12:C1459,"x")</f>
        <v>41</v>
      </c>
      <c r="B1459" s="1451" t="s">
        <v>1064</v>
      </c>
      <c r="C1459" s="966" t="str">
        <f t="shared" si="272"/>
        <v xml:space="preserve"> </v>
      </c>
      <c r="D1459" s="1421">
        <v>1.58</v>
      </c>
      <c r="E1459" s="976" t="str">
        <f>VLOOKUP($B1459,DG!A:D,DG!$B$2,)</f>
        <v>04.9001</v>
      </c>
      <c r="F1459" s="988" t="str">
        <f>VLOOKUP($B1459,DG!A:D,DG!$C$2,)</f>
        <v>Bitum</v>
      </c>
      <c r="G1459" s="976" t="str">
        <f>VLOOKUP($B1459,DG!A:D,DG!$D$2,)</f>
        <v>m2</v>
      </c>
      <c r="H1459" s="1689">
        <f t="shared" si="277"/>
        <v>0</v>
      </c>
      <c r="I1459" s="1689">
        <f t="shared" si="277"/>
        <v>0</v>
      </c>
      <c r="J1459" s="1689">
        <f t="shared" si="277"/>
        <v>0</v>
      </c>
      <c r="K1459" s="1689">
        <f t="shared" si="277"/>
        <v>0</v>
      </c>
      <c r="L1459" s="1689">
        <f t="shared" si="277"/>
        <v>0</v>
      </c>
      <c r="M1459" s="1689">
        <f t="shared" si="277"/>
        <v>0</v>
      </c>
      <c r="N1459" s="1689">
        <f t="shared" si="277"/>
        <v>0</v>
      </c>
      <c r="O1459" s="1689"/>
      <c r="P1459" s="1689"/>
      <c r="Q1459" s="985"/>
      <c r="R1459" s="985"/>
      <c r="S1459" s="985"/>
      <c r="T1459" s="1858">
        <f t="shared" si="270"/>
        <v>0</v>
      </c>
    </row>
    <row r="1460" spans="1:20" ht="22.2" hidden="1" customHeight="1">
      <c r="A1460" s="1444">
        <f>COUNTIF($C$12:C1460,"x")</f>
        <v>41</v>
      </c>
      <c r="B1460" s="1451" t="s">
        <v>639</v>
      </c>
      <c r="C1460" s="966" t="str">
        <f t="shared" si="272"/>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70"/>
        <v>0</v>
      </c>
    </row>
    <row r="1461" spans="1:20" ht="22.2" hidden="1" customHeight="1">
      <c r="A1461" s="1444">
        <f>COUNTIF($C$12:C1461,"x")</f>
        <v>41</v>
      </c>
      <c r="B1461" s="1451" t="s">
        <v>21</v>
      </c>
      <c r="C1461" s="966" t="str">
        <f t="shared" si="272"/>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70"/>
        <v>0</v>
      </c>
    </row>
    <row r="1462" spans="1:20" ht="22.2" hidden="1" customHeight="1">
      <c r="A1462" s="1444">
        <f>COUNTIF($C$12:C1462,"x")</f>
        <v>41</v>
      </c>
      <c r="B1462" s="1451" t="s">
        <v>637</v>
      </c>
      <c r="C1462" s="966" t="str">
        <f t="shared" si="272"/>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70"/>
        <v>0</v>
      </c>
    </row>
    <row r="1463" spans="1:20" ht="22.2" hidden="1" customHeight="1">
      <c r="A1463" s="1444">
        <f>COUNTIF($C$12:C1463,"x")</f>
        <v>41</v>
      </c>
      <c r="B1463" s="1460" t="s">
        <v>605</v>
      </c>
      <c r="C1463" s="966" t="str">
        <f t="shared" si="272"/>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70"/>
        <v>0</v>
      </c>
    </row>
    <row r="1464" spans="1:20" ht="22.2" hidden="1" customHeight="1">
      <c r="A1464" s="1444">
        <f>COUNTIF($C$12:C1464,"x")</f>
        <v>41</v>
      </c>
      <c r="B1464" s="1460" t="s">
        <v>606</v>
      </c>
      <c r="C1464" s="966" t="str">
        <f t="shared" si="272"/>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70"/>
        <v>0</v>
      </c>
    </row>
    <row r="1465" spans="1:20" ht="22.2" hidden="1" customHeight="1">
      <c r="A1465" s="1444">
        <f>COUNTIF($C$12:C1465,"x")</f>
        <v>41</v>
      </c>
      <c r="B1465" s="1448" t="s">
        <v>1092</v>
      </c>
      <c r="C1465" s="966" t="str">
        <f t="shared" si="272"/>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2" hidden="1" customHeight="1">
      <c r="A1466" s="1444">
        <f>COUNTIF($C$12:C1466,"x")</f>
        <v>41</v>
      </c>
      <c r="B1466" s="1451" t="s">
        <v>1999</v>
      </c>
      <c r="C1466" s="966" t="str">
        <f t="shared" si="272"/>
        <v xml:space="preserve"> </v>
      </c>
      <c r="D1466" s="1411">
        <v>1</v>
      </c>
      <c r="E1466" s="976"/>
      <c r="F1466" s="988" t="str">
        <f>VLOOKUP($B1466,DG!A:D,DG!$C$2,)</f>
        <v>Ty neo Ø22x3000</v>
      </c>
      <c r="G1466" s="976" t="str">
        <f>VLOOKUP($B1466,DG!A:D,DG!$D$2,)</f>
        <v>cái</v>
      </c>
      <c r="H1466" s="1689">
        <f t="shared" ref="H1466:N1468" si="278">H$1465*$D1466</f>
        <v>0</v>
      </c>
      <c r="I1466" s="1689">
        <f t="shared" si="278"/>
        <v>0</v>
      </c>
      <c r="J1466" s="1689">
        <f t="shared" si="278"/>
        <v>0</v>
      </c>
      <c r="K1466" s="1689">
        <f t="shared" si="278"/>
        <v>0</v>
      </c>
      <c r="L1466" s="1689">
        <f t="shared" si="278"/>
        <v>0</v>
      </c>
      <c r="M1466" s="1689">
        <f t="shared" si="278"/>
        <v>0</v>
      </c>
      <c r="N1466" s="1689">
        <f t="shared" si="278"/>
        <v>0</v>
      </c>
      <c r="O1466" s="1689"/>
      <c r="P1466" s="1689"/>
      <c r="Q1466" s="985"/>
      <c r="R1466" s="985"/>
      <c r="S1466" s="985"/>
      <c r="T1466" s="1858">
        <f t="shared" si="270"/>
        <v>0</v>
      </c>
    </row>
    <row r="1467" spans="1:20" ht="22.2" hidden="1" customHeight="1">
      <c r="A1467" s="1444">
        <f>COUNTIF($C$12:C1467,"x")</f>
        <v>41</v>
      </c>
      <c r="B1467" s="1451" t="s">
        <v>342</v>
      </c>
      <c r="C1467" s="966" t="str">
        <f t="shared" si="272"/>
        <v xml:space="preserve"> </v>
      </c>
      <c r="D1467" s="1411">
        <v>1</v>
      </c>
      <c r="E1467" s="976" t="str">
        <f>VLOOKUP($B1467,DG!A:D,DG!$B$2,)</f>
        <v>04.3801</v>
      </c>
      <c r="F1467" s="988" t="str">
        <f>VLOOKUP($B1467,DG!A:D,DG!$C$2,)</f>
        <v>Đế neo BTCT 400x1200</v>
      </c>
      <c r="G1467" s="976" t="str">
        <f>VLOOKUP($B1467,DG!A:D,DG!$D$2,)</f>
        <v>cái</v>
      </c>
      <c r="H1467" s="1689">
        <f t="shared" si="278"/>
        <v>0</v>
      </c>
      <c r="I1467" s="1689">
        <f t="shared" si="278"/>
        <v>0</v>
      </c>
      <c r="J1467" s="1689">
        <f t="shared" si="278"/>
        <v>0</v>
      </c>
      <c r="K1467" s="1689">
        <f t="shared" si="278"/>
        <v>0</v>
      </c>
      <c r="L1467" s="1689">
        <f t="shared" si="278"/>
        <v>0</v>
      </c>
      <c r="M1467" s="1689">
        <f t="shared" si="278"/>
        <v>0</v>
      </c>
      <c r="N1467" s="1689">
        <f t="shared" si="278"/>
        <v>0</v>
      </c>
      <c r="O1467" s="1689"/>
      <c r="P1467" s="1689"/>
      <c r="Q1467" s="985"/>
      <c r="R1467" s="985"/>
      <c r="S1467" s="985"/>
      <c r="T1467" s="1858">
        <f t="shared" si="270"/>
        <v>0</v>
      </c>
    </row>
    <row r="1468" spans="1:20" ht="22.2" hidden="1" customHeight="1">
      <c r="A1468" s="1444">
        <f>COUNTIF($C$12:C1468,"x")</f>
        <v>41</v>
      </c>
      <c r="B1468" s="1451" t="s">
        <v>1064</v>
      </c>
      <c r="C1468" s="966" t="str">
        <f t="shared" si="272"/>
        <v xml:space="preserve"> </v>
      </c>
      <c r="D1468" s="1421">
        <v>1.58</v>
      </c>
      <c r="E1468" s="976" t="str">
        <f>VLOOKUP($B1468,DG!A:D,DG!$B$2,)</f>
        <v>04.9001</v>
      </c>
      <c r="F1468" s="988" t="str">
        <f>VLOOKUP($B1468,DG!A:D,DG!$C$2,)</f>
        <v>Bitum</v>
      </c>
      <c r="G1468" s="976" t="str">
        <f>VLOOKUP($B1468,DG!A:D,DG!$D$2,)</f>
        <v>m2</v>
      </c>
      <c r="H1468" s="1689">
        <f t="shared" si="278"/>
        <v>0</v>
      </c>
      <c r="I1468" s="1689">
        <f t="shared" si="278"/>
        <v>0</v>
      </c>
      <c r="J1468" s="1689">
        <f t="shared" si="278"/>
        <v>0</v>
      </c>
      <c r="K1468" s="1689">
        <f t="shared" si="278"/>
        <v>0</v>
      </c>
      <c r="L1468" s="1689">
        <f t="shared" si="278"/>
        <v>0</v>
      </c>
      <c r="M1468" s="1689">
        <f t="shared" si="278"/>
        <v>0</v>
      </c>
      <c r="N1468" s="1689">
        <f t="shared" si="278"/>
        <v>0</v>
      </c>
      <c r="O1468" s="1689"/>
      <c r="P1468" s="1689"/>
      <c r="Q1468" s="985"/>
      <c r="R1468" s="985"/>
      <c r="S1468" s="985"/>
      <c r="T1468" s="1858">
        <f t="shared" si="270"/>
        <v>0</v>
      </c>
    </row>
    <row r="1469" spans="1:20" ht="22.2" hidden="1" customHeight="1">
      <c r="A1469" s="1444">
        <f>COUNTIF($C$12:C1469,"x")</f>
        <v>41</v>
      </c>
      <c r="B1469" s="1451" t="s">
        <v>639</v>
      </c>
      <c r="C1469" s="966" t="str">
        <f t="shared" si="272"/>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70"/>
        <v>0</v>
      </c>
    </row>
    <row r="1470" spans="1:20" ht="22.2" hidden="1" customHeight="1">
      <c r="A1470" s="1444">
        <f>COUNTIF($C$12:C1470,"x")</f>
        <v>41</v>
      </c>
      <c r="B1470" s="1451" t="s">
        <v>21</v>
      </c>
      <c r="C1470" s="966" t="str">
        <f t="shared" si="272"/>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70"/>
        <v>0</v>
      </c>
    </row>
    <row r="1471" spans="1:20" ht="22.2" hidden="1" customHeight="1">
      <c r="A1471" s="1444">
        <f>COUNTIF($C$12:C1471,"x")</f>
        <v>41</v>
      </c>
      <c r="B1471" s="1451" t="s">
        <v>637</v>
      </c>
      <c r="C1471" s="966" t="str">
        <f t="shared" si="272"/>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9">IFERROR(HLOOKUP(B1471,BangKeTru,3,0),0)</f>
        <v>0</v>
      </c>
    </row>
    <row r="1472" spans="1:20" ht="22.2" hidden="1" customHeight="1">
      <c r="A1472" s="1444">
        <f>COUNTIF($C$12:C1472,"x")</f>
        <v>41</v>
      </c>
      <c r="B1472" s="1460" t="s">
        <v>605</v>
      </c>
      <c r="C1472" s="966" t="str">
        <f t="shared" si="272"/>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9"/>
        <v>0</v>
      </c>
    </row>
    <row r="1473" spans="1:20" ht="22.2" hidden="1" customHeight="1">
      <c r="A1473" s="1444">
        <f>COUNTIF($C$12:C1473,"x")</f>
        <v>41</v>
      </c>
      <c r="B1473" s="1460" t="s">
        <v>606</v>
      </c>
      <c r="C1473" s="966" t="str">
        <f t="shared" si="272"/>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9"/>
        <v>0</v>
      </c>
    </row>
    <row r="1474" spans="1:20" ht="22.2" hidden="1" customHeight="1">
      <c r="A1474" s="1444">
        <f>COUNTIF($C$12:C1474,"x")</f>
        <v>41</v>
      </c>
      <c r="B1474" s="1448" t="s">
        <v>2147</v>
      </c>
      <c r="C1474" s="966" t="str">
        <f t="shared" si="272"/>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2" hidden="1" customHeight="1">
      <c r="A1475" s="1444">
        <f>COUNTIF($C$12:C1475,"x")</f>
        <v>41</v>
      </c>
      <c r="B1475" s="1451" t="s">
        <v>113</v>
      </c>
      <c r="C1475" s="966" t="str">
        <f t="shared" si="272"/>
        <v xml:space="preserve"> </v>
      </c>
      <c r="D1475" s="1411">
        <v>1</v>
      </c>
      <c r="E1475" s="976"/>
      <c r="F1475" s="988" t="str">
        <f>VLOOKUP($B1475,DG!A:D,DG!$C$2,)</f>
        <v>Ty neo Ø22x3700</v>
      </c>
      <c r="G1475" s="976" t="str">
        <f>VLOOKUP($B1475,DG!A:D,DG!$D$2,)</f>
        <v>cái</v>
      </c>
      <c r="H1475" s="1689">
        <f t="shared" ref="H1475:N1477" si="280">H$1474*$D1475</f>
        <v>0</v>
      </c>
      <c r="I1475" s="1689">
        <f t="shared" si="280"/>
        <v>0</v>
      </c>
      <c r="J1475" s="1689">
        <f t="shared" si="280"/>
        <v>0</v>
      </c>
      <c r="K1475" s="1689">
        <f t="shared" si="280"/>
        <v>0</v>
      </c>
      <c r="L1475" s="1689">
        <f t="shared" si="280"/>
        <v>0</v>
      </c>
      <c r="M1475" s="1689">
        <f t="shared" si="280"/>
        <v>0</v>
      </c>
      <c r="N1475" s="1689">
        <f t="shared" si="280"/>
        <v>0</v>
      </c>
      <c r="O1475" s="1689"/>
      <c r="P1475" s="1689"/>
      <c r="Q1475" s="985"/>
      <c r="R1475" s="985"/>
      <c r="S1475" s="985"/>
      <c r="T1475" s="1858">
        <f t="shared" si="279"/>
        <v>0</v>
      </c>
    </row>
    <row r="1476" spans="1:20" ht="22.2" hidden="1" customHeight="1">
      <c r="A1476" s="1444">
        <f>COUNTIF($C$12:C1476,"x")</f>
        <v>41</v>
      </c>
      <c r="B1476" s="1451" t="s">
        <v>2130</v>
      </c>
      <c r="C1476" s="966" t="str">
        <f t="shared" si="272"/>
        <v xml:space="preserve"> </v>
      </c>
      <c r="D1476" s="1411">
        <v>1</v>
      </c>
      <c r="E1476" s="976" t="str">
        <f>VLOOKUP($B1476,DG!A:D,DG!$B$2,)</f>
        <v>04.3802</v>
      </c>
      <c r="F1476" s="988" t="str">
        <f>VLOOKUP($B1476,DG!A:D,DG!$C$2,)</f>
        <v>Đế neo BTCT 400x1500</v>
      </c>
      <c r="G1476" s="976" t="str">
        <f>VLOOKUP($B1476,DG!A:D,DG!$D$2,)</f>
        <v>cái</v>
      </c>
      <c r="H1476" s="1689">
        <f t="shared" si="280"/>
        <v>0</v>
      </c>
      <c r="I1476" s="1689">
        <f t="shared" si="280"/>
        <v>0</v>
      </c>
      <c r="J1476" s="1689">
        <f t="shared" si="280"/>
        <v>0</v>
      </c>
      <c r="K1476" s="1689">
        <f t="shared" si="280"/>
        <v>0</v>
      </c>
      <c r="L1476" s="1689">
        <f t="shared" si="280"/>
        <v>0</v>
      </c>
      <c r="M1476" s="1689">
        <f t="shared" si="280"/>
        <v>0</v>
      </c>
      <c r="N1476" s="1689">
        <f t="shared" si="280"/>
        <v>0</v>
      </c>
      <c r="O1476" s="1689"/>
      <c r="P1476" s="1689"/>
      <c r="Q1476" s="985"/>
      <c r="R1476" s="985"/>
      <c r="S1476" s="985"/>
      <c r="T1476" s="1858">
        <f t="shared" si="279"/>
        <v>0</v>
      </c>
    </row>
    <row r="1477" spans="1:20" ht="22.2" hidden="1" customHeight="1">
      <c r="A1477" s="1444">
        <f>COUNTIF($C$12:C1477,"x")</f>
        <v>41</v>
      </c>
      <c r="B1477" s="1451" t="s">
        <v>1064</v>
      </c>
      <c r="C1477" s="966" t="str">
        <f t="shared" si="272"/>
        <v xml:space="preserve"> </v>
      </c>
      <c r="D1477" s="1421">
        <v>1.7</v>
      </c>
      <c r="E1477" s="976" t="str">
        <f>VLOOKUP($B1477,DG!A:D,DG!$B$2,)</f>
        <v>04.9001</v>
      </c>
      <c r="F1477" s="988" t="str">
        <f>VLOOKUP($B1477,DG!A:D,DG!$C$2,)</f>
        <v>Bitum</v>
      </c>
      <c r="G1477" s="976" t="str">
        <f>VLOOKUP($B1477,DG!A:D,DG!$D$2,)</f>
        <v>m2</v>
      </c>
      <c r="H1477" s="1689">
        <f t="shared" si="280"/>
        <v>0</v>
      </c>
      <c r="I1477" s="1689">
        <f t="shared" si="280"/>
        <v>0</v>
      </c>
      <c r="J1477" s="1689">
        <f t="shared" si="280"/>
        <v>0</v>
      </c>
      <c r="K1477" s="1689">
        <f t="shared" si="280"/>
        <v>0</v>
      </c>
      <c r="L1477" s="1689">
        <f t="shared" si="280"/>
        <v>0</v>
      </c>
      <c r="M1477" s="1689">
        <f t="shared" si="280"/>
        <v>0</v>
      </c>
      <c r="N1477" s="1689">
        <f t="shared" si="280"/>
        <v>0</v>
      </c>
      <c r="O1477" s="1689"/>
      <c r="P1477" s="1689"/>
      <c r="Q1477" s="985"/>
      <c r="R1477" s="985"/>
      <c r="S1477" s="985"/>
      <c r="T1477" s="1858">
        <f t="shared" si="279"/>
        <v>0</v>
      </c>
    </row>
    <row r="1478" spans="1:20" ht="22.2" hidden="1" customHeight="1">
      <c r="A1478" s="1444">
        <f>COUNTIF($C$12:C1478,"x")</f>
        <v>41</v>
      </c>
      <c r="B1478" s="1451" t="s">
        <v>639</v>
      </c>
      <c r="C1478" s="966" t="str">
        <f t="shared" si="272"/>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9"/>
        <v>0</v>
      </c>
    </row>
    <row r="1479" spans="1:20" ht="22.2" hidden="1" customHeight="1">
      <c r="A1479" s="1444">
        <f>COUNTIF($C$12:C1479,"x")</f>
        <v>41</v>
      </c>
      <c r="B1479" s="1451" t="s">
        <v>21</v>
      </c>
      <c r="C1479" s="966" t="str">
        <f t="shared" ref="C1479:C1542" si="281">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9"/>
        <v>0</v>
      </c>
    </row>
    <row r="1480" spans="1:20" ht="22.2" hidden="1" customHeight="1">
      <c r="A1480" s="1444">
        <f>COUNTIF($C$12:C1480,"x")</f>
        <v>41</v>
      </c>
      <c r="B1480" s="1451" t="s">
        <v>637</v>
      </c>
      <c r="C1480" s="966" t="str">
        <f t="shared" si="281"/>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9"/>
        <v>0</v>
      </c>
    </row>
    <row r="1481" spans="1:20" ht="22.2" hidden="1" customHeight="1">
      <c r="A1481" s="1444">
        <f>COUNTIF($C$12:C1481,"x")</f>
        <v>41</v>
      </c>
      <c r="B1481" s="1460" t="s">
        <v>605</v>
      </c>
      <c r="C1481" s="966" t="str">
        <f t="shared" si="281"/>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9"/>
        <v>0</v>
      </c>
    </row>
    <row r="1482" spans="1:20" ht="22.2" hidden="1" customHeight="1">
      <c r="A1482" s="1444">
        <f>COUNTIF($C$12:C1482,"x")</f>
        <v>41</v>
      </c>
      <c r="B1482" s="1460" t="s">
        <v>606</v>
      </c>
      <c r="C1482" s="966" t="str">
        <f t="shared" si="281"/>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9"/>
        <v>0</v>
      </c>
    </row>
    <row r="1483" spans="1:20" ht="22.2" hidden="1" customHeight="1">
      <c r="A1483" s="1444">
        <f>COUNTIF($C$12:C1483,"x")</f>
        <v>41</v>
      </c>
      <c r="B1483" s="1448" t="s">
        <v>1093</v>
      </c>
      <c r="C1483" s="966" t="str">
        <f t="shared" si="281"/>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2" hidden="1" customHeight="1">
      <c r="A1484" s="1444">
        <f>COUNTIF($C$12:C1484,"x")</f>
        <v>41</v>
      </c>
      <c r="B1484" s="1451" t="s">
        <v>1999</v>
      </c>
      <c r="C1484" s="966" t="str">
        <f t="shared" si="281"/>
        <v xml:space="preserve"> </v>
      </c>
      <c r="D1484" s="1411">
        <v>1</v>
      </c>
      <c r="E1484" s="976"/>
      <c r="F1484" s="988" t="str">
        <f>VLOOKUP($B1484,DG!A:D,DG!$C$2,)</f>
        <v>Ty neo Ø22x3000</v>
      </c>
      <c r="G1484" s="976" t="str">
        <f>VLOOKUP($B1484,DG!A:D,DG!$D$2,)</f>
        <v>cái</v>
      </c>
      <c r="H1484" s="1689">
        <f t="shared" ref="H1484:N1486" si="282">H$1483*$D1484</f>
        <v>0</v>
      </c>
      <c r="I1484" s="1689">
        <f t="shared" si="282"/>
        <v>0</v>
      </c>
      <c r="J1484" s="1689">
        <f t="shared" si="282"/>
        <v>0</v>
      </c>
      <c r="K1484" s="1689">
        <f t="shared" si="282"/>
        <v>0</v>
      </c>
      <c r="L1484" s="1689">
        <f t="shared" si="282"/>
        <v>0</v>
      </c>
      <c r="M1484" s="1689">
        <f t="shared" si="282"/>
        <v>0</v>
      </c>
      <c r="N1484" s="1689">
        <f t="shared" si="282"/>
        <v>0</v>
      </c>
      <c r="O1484" s="1689"/>
      <c r="P1484" s="1689"/>
      <c r="Q1484" s="985"/>
      <c r="R1484" s="985"/>
      <c r="S1484" s="985"/>
      <c r="T1484" s="1858">
        <f t="shared" si="279"/>
        <v>0</v>
      </c>
    </row>
    <row r="1485" spans="1:20" ht="22.2" hidden="1" customHeight="1">
      <c r="A1485" s="1444">
        <f>COUNTIF($C$12:C1485,"x")</f>
        <v>41</v>
      </c>
      <c r="B1485" s="1451" t="s">
        <v>2130</v>
      </c>
      <c r="C1485" s="966" t="str">
        <f t="shared" si="281"/>
        <v xml:space="preserve"> </v>
      </c>
      <c r="D1485" s="1411">
        <v>1</v>
      </c>
      <c r="E1485" s="976" t="str">
        <f>VLOOKUP($B1485,DG!A:D,DG!$B$2,)</f>
        <v>04.3802</v>
      </c>
      <c r="F1485" s="988" t="str">
        <f>VLOOKUP($B1485,DG!A:D,DG!$C$2,)</f>
        <v>Đế neo BTCT 400x1500</v>
      </c>
      <c r="G1485" s="976" t="str">
        <f>VLOOKUP($B1485,DG!A:D,DG!$D$2,)</f>
        <v>cái</v>
      </c>
      <c r="H1485" s="1689">
        <f t="shared" si="282"/>
        <v>0</v>
      </c>
      <c r="I1485" s="1689">
        <f t="shared" si="282"/>
        <v>0</v>
      </c>
      <c r="J1485" s="1689">
        <f t="shared" si="282"/>
        <v>0</v>
      </c>
      <c r="K1485" s="1689">
        <f t="shared" si="282"/>
        <v>0</v>
      </c>
      <c r="L1485" s="1689">
        <f t="shared" si="282"/>
        <v>0</v>
      </c>
      <c r="M1485" s="1689">
        <f t="shared" si="282"/>
        <v>0</v>
      </c>
      <c r="N1485" s="1689">
        <f t="shared" si="282"/>
        <v>0</v>
      </c>
      <c r="O1485" s="1689"/>
      <c r="P1485" s="1689"/>
      <c r="Q1485" s="985"/>
      <c r="R1485" s="985"/>
      <c r="S1485" s="985"/>
      <c r="T1485" s="1858">
        <f t="shared" si="279"/>
        <v>0</v>
      </c>
    </row>
    <row r="1486" spans="1:20" ht="22.2" hidden="1" customHeight="1">
      <c r="A1486" s="1444">
        <f>COUNTIF($C$12:C1486,"x")</f>
        <v>41</v>
      </c>
      <c r="B1486" s="1451" t="s">
        <v>1064</v>
      </c>
      <c r="C1486" s="966" t="str">
        <f t="shared" si="281"/>
        <v xml:space="preserve"> </v>
      </c>
      <c r="D1486" s="1421">
        <v>1.7</v>
      </c>
      <c r="E1486" s="976" t="str">
        <f>VLOOKUP($B1486,DG!A:D,DG!$B$2,)</f>
        <v>04.9001</v>
      </c>
      <c r="F1486" s="988" t="str">
        <f>VLOOKUP($B1486,DG!A:D,DG!$C$2,)</f>
        <v>Bitum</v>
      </c>
      <c r="G1486" s="976" t="str">
        <f>VLOOKUP($B1486,DG!A:D,DG!$D$2,)</f>
        <v>m2</v>
      </c>
      <c r="H1486" s="1689">
        <f t="shared" si="282"/>
        <v>0</v>
      </c>
      <c r="I1486" s="1689">
        <f t="shared" si="282"/>
        <v>0</v>
      </c>
      <c r="J1486" s="1689">
        <f t="shared" si="282"/>
        <v>0</v>
      </c>
      <c r="K1486" s="1689">
        <f t="shared" si="282"/>
        <v>0</v>
      </c>
      <c r="L1486" s="1689">
        <f t="shared" si="282"/>
        <v>0</v>
      </c>
      <c r="M1486" s="1689">
        <f t="shared" si="282"/>
        <v>0</v>
      </c>
      <c r="N1486" s="1689">
        <f t="shared" si="282"/>
        <v>0</v>
      </c>
      <c r="O1486" s="1689"/>
      <c r="P1486" s="1689"/>
      <c r="Q1486" s="985"/>
      <c r="R1486" s="985"/>
      <c r="S1486" s="985"/>
      <c r="T1486" s="1858">
        <f t="shared" si="279"/>
        <v>0</v>
      </c>
    </row>
    <row r="1487" spans="1:20" ht="22.2" hidden="1" customHeight="1">
      <c r="A1487" s="1444">
        <f>COUNTIF($C$12:C1487,"x")</f>
        <v>41</v>
      </c>
      <c r="B1487" s="1451" t="s">
        <v>639</v>
      </c>
      <c r="C1487" s="966" t="str">
        <f t="shared" si="281"/>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9"/>
        <v>0</v>
      </c>
    </row>
    <row r="1488" spans="1:20" ht="22.2" hidden="1" customHeight="1">
      <c r="A1488" s="1444">
        <f>COUNTIF($C$12:C1488,"x")</f>
        <v>41</v>
      </c>
      <c r="B1488" s="1451" t="s">
        <v>21</v>
      </c>
      <c r="C1488" s="966" t="str">
        <f t="shared" si="281"/>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9"/>
        <v>0</v>
      </c>
    </row>
    <row r="1489" spans="1:20" ht="22.2" hidden="1" customHeight="1">
      <c r="A1489" s="1444">
        <f>COUNTIF($C$12:C1489,"x")</f>
        <v>41</v>
      </c>
      <c r="B1489" s="1451" t="s">
        <v>637</v>
      </c>
      <c r="C1489" s="966" t="str">
        <f t="shared" si="281"/>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9"/>
        <v>0</v>
      </c>
    </row>
    <row r="1490" spans="1:20" ht="22.2" hidden="1" customHeight="1">
      <c r="A1490" s="1444">
        <f>COUNTIF($C$12:C1490,"x")</f>
        <v>41</v>
      </c>
      <c r="B1490" s="1460" t="s">
        <v>605</v>
      </c>
      <c r="C1490" s="966" t="str">
        <f t="shared" si="281"/>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9"/>
        <v>0</v>
      </c>
    </row>
    <row r="1491" spans="1:20" ht="22.2" hidden="1" customHeight="1">
      <c r="A1491" s="1444">
        <f>COUNTIF($C$12:C1491,"x")</f>
        <v>41</v>
      </c>
      <c r="B1491" s="1460" t="s">
        <v>606</v>
      </c>
      <c r="C1491" s="966" t="str">
        <f t="shared" si="281"/>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9"/>
        <v>0</v>
      </c>
    </row>
    <row r="1492" spans="1:20" ht="22.2" hidden="1" customHeight="1">
      <c r="A1492" s="1444">
        <f>COUNTIF($C$12:C1492,"x")</f>
        <v>41</v>
      </c>
      <c r="B1492" s="1448" t="s">
        <v>2045</v>
      </c>
      <c r="C1492" s="966" t="str">
        <f t="shared" si="281"/>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2" hidden="1" customHeight="1">
      <c r="A1493" s="1444">
        <f>COUNTIF($C$12:C1493,"x")</f>
        <v>41</v>
      </c>
      <c r="B1493" s="1451" t="s">
        <v>113</v>
      </c>
      <c r="C1493" s="966" t="str">
        <f t="shared" si="281"/>
        <v xml:space="preserve"> </v>
      </c>
      <c r="D1493" s="1411">
        <v>1</v>
      </c>
      <c r="E1493" s="976"/>
      <c r="F1493" s="988" t="str">
        <f>VLOOKUP($B1493,DG!A:D,DG!$C$2,)</f>
        <v>Ty neo Ø22x3700</v>
      </c>
      <c r="G1493" s="976" t="str">
        <f>VLOOKUP($B1493,DG!A:D,DG!$D$2,)</f>
        <v>cái</v>
      </c>
      <c r="H1493" s="1689">
        <f t="shared" ref="H1493:N1495" si="283">H$1492*$D1493</f>
        <v>0</v>
      </c>
      <c r="I1493" s="1689">
        <f t="shared" si="283"/>
        <v>0</v>
      </c>
      <c r="J1493" s="1689">
        <f t="shared" si="283"/>
        <v>0</v>
      </c>
      <c r="K1493" s="1689">
        <f t="shared" si="283"/>
        <v>0</v>
      </c>
      <c r="L1493" s="1689">
        <f t="shared" si="283"/>
        <v>0</v>
      </c>
      <c r="M1493" s="1689">
        <f t="shared" si="283"/>
        <v>0</v>
      </c>
      <c r="N1493" s="1689">
        <f t="shared" si="283"/>
        <v>0</v>
      </c>
      <c r="O1493" s="1689"/>
      <c r="P1493" s="1689"/>
      <c r="Q1493" s="985"/>
      <c r="R1493" s="985"/>
      <c r="S1493" s="985"/>
      <c r="T1493" s="1858">
        <f t="shared" si="279"/>
        <v>0</v>
      </c>
    </row>
    <row r="1494" spans="1:20" ht="22.2" hidden="1" customHeight="1">
      <c r="A1494" s="1444">
        <f>COUNTIF($C$12:C1494,"x")</f>
        <v>41</v>
      </c>
      <c r="B1494" s="1451" t="s">
        <v>2131</v>
      </c>
      <c r="C1494" s="966" t="str">
        <f t="shared" si="281"/>
        <v xml:space="preserve"> </v>
      </c>
      <c r="D1494" s="1411">
        <v>1</v>
      </c>
      <c r="E1494" s="976" t="str">
        <f>VLOOKUP($B1494,DG!A:D,DG!$B$2,)</f>
        <v>04.3802</v>
      </c>
      <c r="F1494" s="988" t="str">
        <f>VLOOKUP($B1494,DG!A:D,DG!$C$2,)</f>
        <v>Đế neo BTCT 600x1500</v>
      </c>
      <c r="G1494" s="976" t="str">
        <f>VLOOKUP($B1494,DG!A:D,DG!$D$2,)</f>
        <v>cái</v>
      </c>
      <c r="H1494" s="1689">
        <f t="shared" si="283"/>
        <v>0</v>
      </c>
      <c r="I1494" s="1689">
        <f t="shared" si="283"/>
        <v>0</v>
      </c>
      <c r="J1494" s="1689">
        <f t="shared" si="283"/>
        <v>0</v>
      </c>
      <c r="K1494" s="1689">
        <f t="shared" si="283"/>
        <v>0</v>
      </c>
      <c r="L1494" s="1689">
        <f t="shared" si="283"/>
        <v>0</v>
      </c>
      <c r="M1494" s="1689">
        <f t="shared" si="283"/>
        <v>0</v>
      </c>
      <c r="N1494" s="1689">
        <f t="shared" si="283"/>
        <v>0</v>
      </c>
      <c r="O1494" s="1689"/>
      <c r="P1494" s="1689"/>
      <c r="Q1494" s="985"/>
      <c r="R1494" s="985"/>
      <c r="S1494" s="985"/>
      <c r="T1494" s="1858">
        <f t="shared" si="279"/>
        <v>0</v>
      </c>
    </row>
    <row r="1495" spans="1:20" ht="22.2" hidden="1" customHeight="1">
      <c r="A1495" s="1444">
        <f>COUNTIF($C$12:C1495,"x")</f>
        <v>41</v>
      </c>
      <c r="B1495" s="1451" t="s">
        <v>1064</v>
      </c>
      <c r="C1495" s="966" t="str">
        <f t="shared" si="281"/>
        <v xml:space="preserve"> </v>
      </c>
      <c r="D1495" s="1421">
        <v>2</v>
      </c>
      <c r="E1495" s="976" t="str">
        <f>VLOOKUP($B1495,DG!A:D,DG!$B$2,)</f>
        <v>04.9001</v>
      </c>
      <c r="F1495" s="988" t="str">
        <f>VLOOKUP($B1495,DG!A:D,DG!$C$2,)</f>
        <v>Bitum</v>
      </c>
      <c r="G1495" s="976" t="str">
        <f>VLOOKUP($B1495,DG!A:D,DG!$D$2,)</f>
        <v>m2</v>
      </c>
      <c r="H1495" s="1689">
        <f t="shared" si="283"/>
        <v>0</v>
      </c>
      <c r="I1495" s="1689">
        <f t="shared" si="283"/>
        <v>0</v>
      </c>
      <c r="J1495" s="1689">
        <f t="shared" si="283"/>
        <v>0</v>
      </c>
      <c r="K1495" s="1689">
        <f t="shared" si="283"/>
        <v>0</v>
      </c>
      <c r="L1495" s="1689">
        <f t="shared" si="283"/>
        <v>0</v>
      </c>
      <c r="M1495" s="1689">
        <f t="shared" si="283"/>
        <v>0</v>
      </c>
      <c r="N1495" s="1689">
        <f t="shared" si="283"/>
        <v>0</v>
      </c>
      <c r="O1495" s="1689"/>
      <c r="P1495" s="1689"/>
      <c r="Q1495" s="985"/>
      <c r="R1495" s="985"/>
      <c r="S1495" s="985"/>
      <c r="T1495" s="1858">
        <f t="shared" si="279"/>
        <v>0</v>
      </c>
    </row>
    <row r="1496" spans="1:20" ht="22.2" hidden="1" customHeight="1">
      <c r="A1496" s="1444">
        <f>COUNTIF($C$12:C1496,"x")</f>
        <v>41</v>
      </c>
      <c r="B1496" s="1451" t="s">
        <v>639</v>
      </c>
      <c r="C1496" s="966" t="str">
        <f t="shared" si="281"/>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9"/>
        <v>0</v>
      </c>
    </row>
    <row r="1497" spans="1:20" ht="22.2" hidden="1" customHeight="1">
      <c r="A1497" s="1444">
        <f>COUNTIF($C$12:C1497,"x")</f>
        <v>41</v>
      </c>
      <c r="B1497" s="1451" t="s">
        <v>21</v>
      </c>
      <c r="C1497" s="966" t="str">
        <f t="shared" si="281"/>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9"/>
        <v>0</v>
      </c>
    </row>
    <row r="1498" spans="1:20" ht="22.2" hidden="1" customHeight="1">
      <c r="A1498" s="1444">
        <f>COUNTIF($C$12:C1498,"x")</f>
        <v>41</v>
      </c>
      <c r="B1498" s="1451" t="s">
        <v>637</v>
      </c>
      <c r="C1498" s="966" t="str">
        <f t="shared" si="281"/>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9"/>
        <v>0</v>
      </c>
    </row>
    <row r="1499" spans="1:20" ht="22.2" hidden="1" customHeight="1">
      <c r="A1499" s="1444">
        <f>COUNTIF($C$12:C1499,"x")</f>
        <v>41</v>
      </c>
      <c r="B1499" s="1460" t="s">
        <v>605</v>
      </c>
      <c r="C1499" s="966" t="str">
        <f t="shared" si="281"/>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9"/>
        <v>0</v>
      </c>
    </row>
    <row r="1500" spans="1:20" ht="22.2" hidden="1" customHeight="1">
      <c r="A1500" s="1444">
        <f>COUNTIF($C$12:C1500,"x")</f>
        <v>41</v>
      </c>
      <c r="B1500" s="1460" t="s">
        <v>606</v>
      </c>
      <c r="C1500" s="966" t="str">
        <f t="shared" si="281"/>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9"/>
        <v>0</v>
      </c>
    </row>
    <row r="1501" spans="1:20" ht="22.2" hidden="1" customHeight="1">
      <c r="A1501" s="1444">
        <f>COUNTIF($C$12:C1501,"x")</f>
        <v>41</v>
      </c>
      <c r="B1501" s="1448" t="s">
        <v>1094</v>
      </c>
      <c r="C1501" s="966" t="str">
        <f t="shared" si="281"/>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2" hidden="1" customHeight="1">
      <c r="A1502" s="1444">
        <f>COUNTIF($C$12:C1502,"x")</f>
        <v>41</v>
      </c>
      <c r="B1502" s="1451" t="s">
        <v>1999</v>
      </c>
      <c r="C1502" s="966" t="str">
        <f t="shared" si="281"/>
        <v xml:space="preserve"> </v>
      </c>
      <c r="D1502" s="1411">
        <v>1</v>
      </c>
      <c r="E1502" s="976"/>
      <c r="F1502" s="988" t="str">
        <f>VLOOKUP($B1502,DG!A:D,DG!$C$2,)</f>
        <v>Ty neo Ø22x3000</v>
      </c>
      <c r="G1502" s="976" t="str">
        <f>VLOOKUP($B1502,DG!A:D,DG!$D$2,)</f>
        <v>cái</v>
      </c>
      <c r="H1502" s="1689">
        <f t="shared" ref="H1502:N1504" si="284">H$1501*$D1502</f>
        <v>0</v>
      </c>
      <c r="I1502" s="1689">
        <f t="shared" si="284"/>
        <v>0</v>
      </c>
      <c r="J1502" s="1689">
        <f t="shared" si="284"/>
        <v>0</v>
      </c>
      <c r="K1502" s="1689">
        <f t="shared" si="284"/>
        <v>0</v>
      </c>
      <c r="L1502" s="1689">
        <f t="shared" si="284"/>
        <v>0</v>
      </c>
      <c r="M1502" s="1689">
        <f t="shared" si="284"/>
        <v>0</v>
      </c>
      <c r="N1502" s="1689">
        <f t="shared" si="284"/>
        <v>0</v>
      </c>
      <c r="O1502" s="1689"/>
      <c r="P1502" s="1689"/>
      <c r="Q1502" s="985"/>
      <c r="R1502" s="985"/>
      <c r="S1502" s="985"/>
      <c r="T1502" s="1858">
        <f t="shared" si="279"/>
        <v>0</v>
      </c>
    </row>
    <row r="1503" spans="1:20" ht="22.2" hidden="1" customHeight="1">
      <c r="A1503" s="1444">
        <f>COUNTIF($C$12:C1503,"x")</f>
        <v>41</v>
      </c>
      <c r="B1503" s="1451" t="s">
        <v>2131</v>
      </c>
      <c r="C1503" s="966" t="str">
        <f t="shared" si="281"/>
        <v xml:space="preserve"> </v>
      </c>
      <c r="D1503" s="1411">
        <v>1</v>
      </c>
      <c r="E1503" s="976" t="str">
        <f>VLOOKUP($B1503,DG!A:D,DG!$B$2,)</f>
        <v>04.3802</v>
      </c>
      <c r="F1503" s="988" t="str">
        <f>VLOOKUP($B1503,DG!A:D,DG!$C$2,)</f>
        <v>Đế neo BTCT 600x1500</v>
      </c>
      <c r="G1503" s="976" t="str">
        <f>VLOOKUP($B1503,DG!A:D,DG!$D$2,)</f>
        <v>cái</v>
      </c>
      <c r="H1503" s="1689">
        <f t="shared" si="284"/>
        <v>0</v>
      </c>
      <c r="I1503" s="1689">
        <f t="shared" si="284"/>
        <v>0</v>
      </c>
      <c r="J1503" s="1689">
        <f t="shared" si="284"/>
        <v>0</v>
      </c>
      <c r="K1503" s="1689">
        <f t="shared" si="284"/>
        <v>0</v>
      </c>
      <c r="L1503" s="1689">
        <f t="shared" si="284"/>
        <v>0</v>
      </c>
      <c r="M1503" s="1689">
        <f t="shared" si="284"/>
        <v>0</v>
      </c>
      <c r="N1503" s="1689">
        <f t="shared" si="284"/>
        <v>0</v>
      </c>
      <c r="O1503" s="1689"/>
      <c r="P1503" s="1689"/>
      <c r="Q1503" s="985"/>
      <c r="R1503" s="985"/>
      <c r="S1503" s="985"/>
      <c r="T1503" s="1858">
        <f t="shared" si="279"/>
        <v>0</v>
      </c>
    </row>
    <row r="1504" spans="1:20" ht="22.2" hidden="1" customHeight="1">
      <c r="A1504" s="1444">
        <f>COUNTIF($C$12:C1504,"x")</f>
        <v>41</v>
      </c>
      <c r="B1504" s="1451" t="s">
        <v>1064</v>
      </c>
      <c r="C1504" s="966" t="str">
        <f t="shared" si="281"/>
        <v xml:space="preserve"> </v>
      </c>
      <c r="D1504" s="1421">
        <v>2</v>
      </c>
      <c r="E1504" s="976" t="str">
        <f>VLOOKUP($B1504,DG!A:D,DG!$B$2,)</f>
        <v>04.9001</v>
      </c>
      <c r="F1504" s="988" t="str">
        <f>VLOOKUP($B1504,DG!A:D,DG!$C$2,)</f>
        <v>Bitum</v>
      </c>
      <c r="G1504" s="976" t="str">
        <f>VLOOKUP($B1504,DG!A:D,DG!$D$2,)</f>
        <v>m2</v>
      </c>
      <c r="H1504" s="1689">
        <f t="shared" si="284"/>
        <v>0</v>
      </c>
      <c r="I1504" s="1689">
        <f t="shared" si="284"/>
        <v>0</v>
      </c>
      <c r="J1504" s="1689">
        <f t="shared" si="284"/>
        <v>0</v>
      </c>
      <c r="K1504" s="1689">
        <f t="shared" si="284"/>
        <v>0</v>
      </c>
      <c r="L1504" s="1689">
        <f t="shared" si="284"/>
        <v>0</v>
      </c>
      <c r="M1504" s="1689">
        <f t="shared" si="284"/>
        <v>0</v>
      </c>
      <c r="N1504" s="1689">
        <f t="shared" si="284"/>
        <v>0</v>
      </c>
      <c r="O1504" s="1689"/>
      <c r="P1504" s="1689"/>
      <c r="Q1504" s="985"/>
      <c r="R1504" s="985"/>
      <c r="S1504" s="985"/>
      <c r="T1504" s="1858">
        <f t="shared" si="279"/>
        <v>0</v>
      </c>
    </row>
    <row r="1505" spans="1:20" ht="22.2" hidden="1" customHeight="1">
      <c r="A1505" s="1444">
        <f>COUNTIF($C$12:C1505,"x")</f>
        <v>41</v>
      </c>
      <c r="B1505" s="1451" t="s">
        <v>639</v>
      </c>
      <c r="C1505" s="966" t="str">
        <f t="shared" si="281"/>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9"/>
        <v>0</v>
      </c>
    </row>
    <row r="1506" spans="1:20" ht="22.2" hidden="1" customHeight="1">
      <c r="A1506" s="1444">
        <f>COUNTIF($C$12:C1506,"x")</f>
        <v>41</v>
      </c>
      <c r="B1506" s="1451" t="s">
        <v>21</v>
      </c>
      <c r="C1506" s="966" t="str">
        <f t="shared" si="281"/>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9"/>
        <v>0</v>
      </c>
    </row>
    <row r="1507" spans="1:20" ht="22.2" hidden="1" customHeight="1">
      <c r="A1507" s="1444">
        <f>COUNTIF($C$12:C1507,"x")</f>
        <v>41</v>
      </c>
      <c r="B1507" s="1451" t="s">
        <v>637</v>
      </c>
      <c r="C1507" s="966" t="str">
        <f t="shared" si="281"/>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9"/>
        <v>0</v>
      </c>
    </row>
    <row r="1508" spans="1:20" ht="22.2" hidden="1" customHeight="1">
      <c r="A1508" s="1444">
        <f>COUNTIF($C$12:C1508,"x")</f>
        <v>41</v>
      </c>
      <c r="B1508" s="1460" t="s">
        <v>605</v>
      </c>
      <c r="C1508" s="966" t="str">
        <f t="shared" si="281"/>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9"/>
        <v>0</v>
      </c>
    </row>
    <row r="1509" spans="1:20" ht="22.2" hidden="1" customHeight="1">
      <c r="A1509" s="1444">
        <f>COUNTIF($C$12:C1509,"x")</f>
        <v>41</v>
      </c>
      <c r="B1509" s="1460" t="s">
        <v>606</v>
      </c>
      <c r="C1509" s="966" t="str">
        <f t="shared" si="281"/>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9"/>
        <v>0</v>
      </c>
    </row>
    <row r="1510" spans="1:20" ht="22.2" customHeight="1">
      <c r="A1510" s="1444">
        <f>COUNTIF($C$12:C1510,"x")</f>
        <v>42</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9"/>
        <v>0</v>
      </c>
    </row>
    <row r="1511" spans="1:20" ht="22.2" customHeight="1">
      <c r="A1511" s="1444">
        <f>COUNTIF($C$12:C1511,"x")</f>
        <v>43</v>
      </c>
      <c r="B1511" s="1448" t="s">
        <v>28</v>
      </c>
      <c r="C1511" s="966" t="str">
        <f>IF(D1511&lt;&gt;0,"x"," ")</f>
        <v>x</v>
      </c>
      <c r="D1511" s="1408">
        <f>IF(SUM(D1512:D1530)&lt;&gt;0,1,0)</f>
        <v>1</v>
      </c>
      <c r="E1511" s="978" t="s">
        <v>2170</v>
      </c>
      <c r="F1511" s="1272" t="s">
        <v>4405</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9"/>
        <v>0</v>
      </c>
    </row>
    <row r="1512" spans="1:20" ht="22.2" hidden="1" customHeight="1">
      <c r="A1512" s="1444">
        <f>COUNTIF($C$12:C1512,"x")</f>
        <v>43</v>
      </c>
      <c r="B1512" s="1451" t="s">
        <v>728</v>
      </c>
      <c r="C1512" s="966" t="str">
        <f t="shared" si="281"/>
        <v xml:space="preserve"> </v>
      </c>
      <c r="D1512" s="1421">
        <f>ROUND(E1512*1.02*0.952,2)</f>
        <v>0</v>
      </c>
      <c r="E1512" s="993">
        <f>pp_NC!D186</f>
        <v>0</v>
      </c>
      <c r="F1512" s="988" t="str">
        <f>VLOOKUP($B1512,DG!A:D,DG!$C$2,)</f>
        <v>Cáp nhôm lõi thép AC-240/39</v>
      </c>
      <c r="G1512" s="976" t="str">
        <f>VLOOKUP($B1512,DG!A:D,DG!$D$2,)</f>
        <v>kg</v>
      </c>
      <c r="H1512" s="1689">
        <f t="shared" ref="H1512:H1543" si="285">$D1512</f>
        <v>0</v>
      </c>
      <c r="I1512" s="1689"/>
      <c r="J1512" s="1689">
        <f t="shared" ref="J1512:J1543" si="286">D1512</f>
        <v>0</v>
      </c>
      <c r="K1512" s="1689"/>
      <c r="L1512" s="1689"/>
      <c r="M1512" s="1689"/>
      <c r="N1512" s="1689"/>
      <c r="O1512" s="1689"/>
      <c r="P1512" s="1689">
        <f>H1512+Q1512-R1512</f>
        <v>0</v>
      </c>
      <c r="Q1512" s="985"/>
      <c r="R1512" s="985"/>
      <c r="S1512" s="985"/>
      <c r="T1512" s="1858">
        <f t="shared" si="279"/>
        <v>0</v>
      </c>
    </row>
    <row r="1513" spans="1:20" ht="22.2" hidden="1" customHeight="1">
      <c r="A1513" s="1444">
        <f>COUNTIF($C$12:C1513,"x")</f>
        <v>43</v>
      </c>
      <c r="B1513" s="1451" t="s">
        <v>729</v>
      </c>
      <c r="C1513" s="966" t="str">
        <f t="shared" si="281"/>
        <v xml:space="preserve"> </v>
      </c>
      <c r="D1513" s="1421">
        <f>ROUND(E1513*1.02*0.727,2)</f>
        <v>0</v>
      </c>
      <c r="E1513" s="993">
        <f>pp_NC!D187</f>
        <v>0</v>
      </c>
      <c r="F1513" s="988" t="str">
        <f>VLOOKUP($B1513,DG!A:D,DG!$C$2,)</f>
        <v>Cáp nhôm lõi thép AC-185/29</v>
      </c>
      <c r="G1513" s="976" t="str">
        <f>VLOOKUP($B1513,DG!A:D,DG!$D$2,)</f>
        <v>kg</v>
      </c>
      <c r="H1513" s="1689">
        <f t="shared" si="285"/>
        <v>0</v>
      </c>
      <c r="I1513" s="1689"/>
      <c r="J1513" s="1689">
        <f t="shared" si="286"/>
        <v>0</v>
      </c>
      <c r="K1513" s="1689"/>
      <c r="L1513" s="1689"/>
      <c r="M1513" s="1689"/>
      <c r="N1513" s="1689"/>
      <c r="O1513" s="1689"/>
      <c r="P1513" s="1689">
        <f t="shared" ref="P1513:P1576" si="287">H1513+Q1513-R1513</f>
        <v>0</v>
      </c>
      <c r="Q1513" s="985"/>
      <c r="R1513" s="985"/>
      <c r="S1513" s="985"/>
      <c r="T1513" s="1858">
        <f t="shared" si="279"/>
        <v>0</v>
      </c>
    </row>
    <row r="1514" spans="1:20" ht="22.2" hidden="1" customHeight="1">
      <c r="A1514" s="1444">
        <f>COUNTIF($C$12:C1514,"x")</f>
        <v>43</v>
      </c>
      <c r="B1514" s="1451" t="s">
        <v>841</v>
      </c>
      <c r="C1514" s="966" t="str">
        <f t="shared" si="281"/>
        <v xml:space="preserve"> </v>
      </c>
      <c r="D1514" s="1421">
        <f>ROUND(E1514*1.02*0.6,2)</f>
        <v>0</v>
      </c>
      <c r="E1514" s="993">
        <f>pp_NC!D188</f>
        <v>0</v>
      </c>
      <c r="F1514" s="988" t="str">
        <f>VLOOKUP($B1514,DG!A:D,DG!$C$2,)</f>
        <v>Cáp nhôm lõi thép AC-150/24</v>
      </c>
      <c r="G1514" s="976" t="str">
        <f>VLOOKUP($B1514,DG!A:D,DG!$D$2,)</f>
        <v>kg</v>
      </c>
      <c r="H1514" s="1689">
        <f t="shared" si="285"/>
        <v>0</v>
      </c>
      <c r="I1514" s="1689"/>
      <c r="J1514" s="1689">
        <f t="shared" si="286"/>
        <v>0</v>
      </c>
      <c r="K1514" s="1689"/>
      <c r="L1514" s="1689"/>
      <c r="M1514" s="1689"/>
      <c r="N1514" s="1689"/>
      <c r="O1514" s="1689"/>
      <c r="P1514" s="1689">
        <f t="shared" si="287"/>
        <v>0</v>
      </c>
      <c r="Q1514" s="985"/>
      <c r="R1514" s="985"/>
      <c r="S1514" s="985"/>
      <c r="T1514" s="1858">
        <f t="shared" si="279"/>
        <v>0</v>
      </c>
    </row>
    <row r="1515" spans="1:20" ht="22.2" hidden="1" customHeight="1">
      <c r="A1515" s="1444">
        <f>COUNTIF($C$12:C1515,"x")</f>
        <v>43</v>
      </c>
      <c r="B1515" s="1451" t="s">
        <v>539</v>
      </c>
      <c r="C1515" s="966" t="str">
        <f t="shared" si="281"/>
        <v xml:space="preserve"> </v>
      </c>
      <c r="D1515" s="1421">
        <f>ROUND(E1515*1.02*0.471,2)</f>
        <v>0</v>
      </c>
      <c r="E1515" s="993"/>
      <c r="F1515" s="988" t="str">
        <f>VLOOKUP($B1515,DG!A:D,DG!$C$2,)</f>
        <v>Cáp nhôm lõi thép AC-120/19</v>
      </c>
      <c r="G1515" s="976" t="str">
        <f>VLOOKUP($B1515,DG!A:D,DG!$D$2,)</f>
        <v>kg</v>
      </c>
      <c r="H1515" s="1689">
        <f t="shared" si="285"/>
        <v>0</v>
      </c>
      <c r="I1515" s="1689"/>
      <c r="J1515" s="1689">
        <f t="shared" si="286"/>
        <v>0</v>
      </c>
      <c r="K1515" s="1689"/>
      <c r="L1515" s="1689"/>
      <c r="M1515" s="1689"/>
      <c r="N1515" s="1689"/>
      <c r="O1515" s="1689"/>
      <c r="P1515" s="1689">
        <f t="shared" si="287"/>
        <v>0</v>
      </c>
      <c r="Q1515" s="985"/>
      <c r="R1515" s="985"/>
      <c r="S1515" s="985"/>
      <c r="T1515" s="1858">
        <f t="shared" si="279"/>
        <v>0</v>
      </c>
    </row>
    <row r="1516" spans="1:20" ht="22.2" hidden="1" customHeight="1">
      <c r="A1516" s="1444">
        <f>COUNTIF($C$12:C1516,"x")</f>
        <v>43</v>
      </c>
      <c r="B1516" s="1451" t="s">
        <v>269</v>
      </c>
      <c r="C1516" s="966" t="str">
        <f t="shared" si="281"/>
        <v xml:space="preserve"> </v>
      </c>
      <c r="D1516" s="1421">
        <f>ROUND(E1516*1.02*0.384,2)</f>
        <v>0</v>
      </c>
      <c r="E1516" s="993">
        <f>pp_NC!D190</f>
        <v>0</v>
      </c>
      <c r="F1516" s="988" t="str">
        <f>VLOOKUP($B1516,DG!A:D,DG!$C$2,)</f>
        <v>Cáp nhôm lõi thép AC-95/16</v>
      </c>
      <c r="G1516" s="976" t="str">
        <f>VLOOKUP($B1516,DG!A:D,DG!$D$2,)</f>
        <v>kg</v>
      </c>
      <c r="H1516" s="1689">
        <f t="shared" si="285"/>
        <v>0</v>
      </c>
      <c r="I1516" s="1689"/>
      <c r="J1516" s="1689">
        <f t="shared" si="286"/>
        <v>0</v>
      </c>
      <c r="K1516" s="1689"/>
      <c r="L1516" s="1689"/>
      <c r="M1516" s="1689"/>
      <c r="N1516" s="1689"/>
      <c r="O1516" s="1689"/>
      <c r="P1516" s="1689">
        <f t="shared" si="287"/>
        <v>0</v>
      </c>
      <c r="Q1516" s="985"/>
      <c r="R1516" s="985"/>
      <c r="S1516" s="985"/>
      <c r="T1516" s="1858">
        <f t="shared" si="279"/>
        <v>0</v>
      </c>
    </row>
    <row r="1517" spans="1:20" ht="22.2" hidden="1" customHeight="1">
      <c r="A1517" s="1444">
        <f>COUNTIF($C$12:C1517,"x")</f>
        <v>43</v>
      </c>
      <c r="B1517" s="1451" t="s">
        <v>1239</v>
      </c>
      <c r="C1517" s="966" t="str">
        <f t="shared" si="281"/>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6"/>
        <v>0.27948000000000001</v>
      </c>
      <c r="K1517" s="1689"/>
      <c r="L1517" s="1689"/>
      <c r="M1517" s="1689"/>
      <c r="N1517" s="1689"/>
      <c r="O1517" s="1689"/>
      <c r="P1517" s="1689">
        <f t="shared" si="287"/>
        <v>0</v>
      </c>
      <c r="Q1517" s="985"/>
      <c r="R1517" s="985"/>
      <c r="S1517" s="985"/>
      <c r="T1517" s="1858">
        <f t="shared" si="279"/>
        <v>0</v>
      </c>
    </row>
    <row r="1518" spans="1:20" ht="22.2" hidden="1" customHeight="1">
      <c r="A1518" s="1444">
        <f>COUNTIF($C$12:C1518,"x")</f>
        <v>43</v>
      </c>
      <c r="B1518" s="1451" t="s">
        <v>88</v>
      </c>
      <c r="C1518" s="966" t="str">
        <f t="shared" si="281"/>
        <v xml:space="preserve"> </v>
      </c>
      <c r="D1518" s="1421">
        <f>0.195*1.02</f>
        <v>0.19890000000000002</v>
      </c>
      <c r="E1518" s="993"/>
      <c r="F1518" s="988" t="str">
        <f>VLOOKUP($B1518,DG!A:D,DG!$C$2,)</f>
        <v>Cáp nhôm lõi thép AC-50/8</v>
      </c>
      <c r="G1518" s="976" t="str">
        <f>VLOOKUP($B1518,DG!A:D,DG!$D$2,)</f>
        <v>kg</v>
      </c>
      <c r="H1518" s="1689"/>
      <c r="I1518" s="1689"/>
      <c r="J1518" s="1689">
        <f t="shared" si="286"/>
        <v>0.19890000000000002</v>
      </c>
      <c r="K1518" s="1689"/>
      <c r="L1518" s="1689"/>
      <c r="M1518" s="1689"/>
      <c r="N1518" s="1689"/>
      <c r="O1518" s="1689"/>
      <c r="P1518" s="1689">
        <f t="shared" si="287"/>
        <v>0</v>
      </c>
      <c r="Q1518" s="985"/>
      <c r="R1518" s="985"/>
      <c r="S1518" s="985"/>
      <c r="T1518" s="1858">
        <f t="shared" si="279"/>
        <v>0</v>
      </c>
    </row>
    <row r="1519" spans="1:20" ht="22.2" hidden="1" customHeight="1">
      <c r="A1519" s="1444">
        <f>COUNTIF($C$12:C1519,"x")</f>
        <v>43</v>
      </c>
      <c r="B1519" s="1447" t="s">
        <v>360</v>
      </c>
      <c r="C1519" s="966" t="str">
        <f t="shared" si="281"/>
        <v xml:space="preserve"> </v>
      </c>
      <c r="D1519" s="1421">
        <f>E1519*2.04</f>
        <v>0</v>
      </c>
      <c r="E1519" s="993">
        <f>pp_NC!C199</f>
        <v>0</v>
      </c>
      <c r="F1519" s="988" t="str">
        <f>VLOOKUP($B1519,DG!A:D,DG!$C$2,)</f>
        <v>Cáp 24KV ACX 50mm2</v>
      </c>
      <c r="G1519" s="976" t="str">
        <f>VLOOKUP($B1519,DG!A:D,DG!$D$2,)</f>
        <v>mét</v>
      </c>
      <c r="H1519" s="1689">
        <f t="shared" si="285"/>
        <v>0</v>
      </c>
      <c r="I1519" s="1689"/>
      <c r="J1519" s="1689">
        <f t="shared" si="286"/>
        <v>0</v>
      </c>
      <c r="K1519" s="1689"/>
      <c r="L1519" s="1689"/>
      <c r="M1519" s="1689"/>
      <c r="N1519" s="1689"/>
      <c r="O1519" s="1689"/>
      <c r="P1519" s="1689">
        <f t="shared" si="287"/>
        <v>0</v>
      </c>
      <c r="Q1519" s="985"/>
      <c r="R1519" s="985"/>
      <c r="S1519" s="985"/>
      <c r="T1519" s="1858">
        <f t="shared" si="279"/>
        <v>0</v>
      </c>
    </row>
    <row r="1520" spans="1:20" ht="22.2" hidden="1" customHeight="1">
      <c r="A1520" s="1444">
        <f>COUNTIF($C$12:C1520,"x")</f>
        <v>43</v>
      </c>
      <c r="B1520" s="1451" t="s">
        <v>1794</v>
      </c>
      <c r="C1520" s="966" t="str">
        <f t="shared" si="281"/>
        <v xml:space="preserve"> </v>
      </c>
      <c r="D1520" s="1411">
        <f t="shared" ref="D1520:D1525" si="288">ROUND(E1520*1.03,2)</f>
        <v>0</v>
      </c>
      <c r="E1520" s="993">
        <f>pp_NC!D193</f>
        <v>0</v>
      </c>
      <c r="F1520" s="988" t="str">
        <f>VLOOKUP($B1520,DG!A:D,DG!$C$2,)</f>
        <v>Cáp 24KV A/XLPE/PVC 240mm2</v>
      </c>
      <c r="G1520" s="976" t="str">
        <f>VLOOKUP($B1520,DG!A:D,DG!$D$2,)</f>
        <v>mét</v>
      </c>
      <c r="H1520" s="1689">
        <f t="shared" si="285"/>
        <v>0</v>
      </c>
      <c r="I1520" s="1689"/>
      <c r="J1520" s="1689">
        <f t="shared" si="286"/>
        <v>0</v>
      </c>
      <c r="K1520" s="1689"/>
      <c r="L1520" s="1689"/>
      <c r="M1520" s="1689"/>
      <c r="N1520" s="1689"/>
      <c r="O1520" s="1689"/>
      <c r="P1520" s="1689">
        <f t="shared" si="287"/>
        <v>0</v>
      </c>
      <c r="Q1520" s="985"/>
      <c r="R1520" s="985"/>
      <c r="S1520" s="985"/>
      <c r="T1520" s="1858">
        <f t="shared" si="279"/>
        <v>0</v>
      </c>
    </row>
    <row r="1521" spans="1:20" ht="22.2" hidden="1" customHeight="1">
      <c r="A1521" s="1444">
        <f>COUNTIF($C$12:C1521,"x")</f>
        <v>43</v>
      </c>
      <c r="B1521" s="1451" t="s">
        <v>1031</v>
      </c>
      <c r="C1521" s="966" t="str">
        <f t="shared" si="281"/>
        <v xml:space="preserve"> </v>
      </c>
      <c r="D1521" s="1411">
        <f t="shared" si="288"/>
        <v>0</v>
      </c>
      <c r="E1521" s="993">
        <f>pp_NC!D194</f>
        <v>0</v>
      </c>
      <c r="F1521" s="988" t="str">
        <f>VLOOKUP($B1521,DG!A:D,DG!$C$2,)</f>
        <v>Cáp 24KV A/XLPE/PVC 185mm2</v>
      </c>
      <c r="G1521" s="976" t="str">
        <f>VLOOKUP($B1521,DG!A:D,DG!$D$2,)</f>
        <v>mét</v>
      </c>
      <c r="H1521" s="1689">
        <f t="shared" si="285"/>
        <v>0</v>
      </c>
      <c r="I1521" s="1689"/>
      <c r="J1521" s="1689">
        <f t="shared" si="286"/>
        <v>0</v>
      </c>
      <c r="K1521" s="1689"/>
      <c r="L1521" s="1689"/>
      <c r="M1521" s="1689"/>
      <c r="N1521" s="1689"/>
      <c r="O1521" s="1689"/>
      <c r="P1521" s="1689">
        <f t="shared" si="287"/>
        <v>0</v>
      </c>
      <c r="Q1521" s="985"/>
      <c r="R1521" s="985"/>
      <c r="S1521" s="985"/>
      <c r="T1521" s="1858">
        <f t="shared" si="279"/>
        <v>0</v>
      </c>
    </row>
    <row r="1522" spans="1:20" ht="22.2" hidden="1" customHeight="1">
      <c r="A1522" s="1444">
        <f>COUNTIF($C$12:C1522,"x")</f>
        <v>43</v>
      </c>
      <c r="B1522" s="1451" t="s">
        <v>1032</v>
      </c>
      <c r="C1522" s="966" t="str">
        <f t="shared" si="281"/>
        <v xml:space="preserve"> </v>
      </c>
      <c r="D1522" s="1411">
        <f t="shared" si="288"/>
        <v>0</v>
      </c>
      <c r="E1522" s="993">
        <f>pp_NC!D195</f>
        <v>0</v>
      </c>
      <c r="F1522" s="988" t="str">
        <f>VLOOKUP($B1522,DG!A:D,DG!$C$2,)</f>
        <v>Cáp 24KV A/XLPE/PVC 150mm2</v>
      </c>
      <c r="G1522" s="976" t="str">
        <f>VLOOKUP($B1522,DG!A:D,DG!$D$2,)</f>
        <v>mét</v>
      </c>
      <c r="H1522" s="1689">
        <f t="shared" si="285"/>
        <v>0</v>
      </c>
      <c r="I1522" s="1689"/>
      <c r="J1522" s="1689">
        <f t="shared" si="286"/>
        <v>0</v>
      </c>
      <c r="K1522" s="1689"/>
      <c r="L1522" s="1689"/>
      <c r="M1522" s="1689"/>
      <c r="N1522" s="1689"/>
      <c r="O1522" s="1689"/>
      <c r="P1522" s="1689">
        <f t="shared" si="287"/>
        <v>0</v>
      </c>
      <c r="Q1522" s="985"/>
      <c r="R1522" s="985"/>
      <c r="S1522" s="985"/>
      <c r="T1522" s="1858">
        <f t="shared" si="279"/>
        <v>0</v>
      </c>
    </row>
    <row r="1523" spans="1:20" ht="22.2" hidden="1" customHeight="1">
      <c r="A1523" s="1444">
        <f>COUNTIF($C$12:C1523,"x")</f>
        <v>43</v>
      </c>
      <c r="B1523" s="1451" t="s">
        <v>657</v>
      </c>
      <c r="C1523" s="966" t="str">
        <f t="shared" si="281"/>
        <v xml:space="preserve"> </v>
      </c>
      <c r="D1523" s="1411">
        <f t="shared" si="288"/>
        <v>0</v>
      </c>
      <c r="E1523" s="993">
        <f>pp_NC!D196</f>
        <v>0</v>
      </c>
      <c r="F1523" s="988" t="str">
        <f>VLOOKUP($B1523,DG!A:D,DG!$C$2,)</f>
        <v>Cáp 24KV A/XLPE/PVC 120mm2</v>
      </c>
      <c r="G1523" s="976" t="str">
        <f>VLOOKUP($B1523,DG!A:D,DG!$D$2,)</f>
        <v>mét</v>
      </c>
      <c r="H1523" s="1689">
        <f t="shared" si="285"/>
        <v>0</v>
      </c>
      <c r="I1523" s="1689"/>
      <c r="J1523" s="1689">
        <f t="shared" si="286"/>
        <v>0</v>
      </c>
      <c r="K1523" s="1689"/>
      <c r="L1523" s="1689"/>
      <c r="M1523" s="1689"/>
      <c r="N1523" s="1689"/>
      <c r="O1523" s="1689"/>
      <c r="P1523" s="1689">
        <f t="shared" si="287"/>
        <v>0</v>
      </c>
      <c r="Q1523" s="985"/>
      <c r="R1523" s="985"/>
      <c r="S1523" s="985"/>
      <c r="T1523" s="1858">
        <f t="shared" si="279"/>
        <v>0</v>
      </c>
    </row>
    <row r="1524" spans="1:20" ht="22.2" hidden="1" customHeight="1">
      <c r="A1524" s="1444">
        <f>COUNTIF($C$12:C1524,"x")</f>
        <v>43</v>
      </c>
      <c r="B1524" s="1451" t="s">
        <v>57</v>
      </c>
      <c r="C1524" s="966" t="str">
        <f t="shared" si="281"/>
        <v xml:space="preserve"> </v>
      </c>
      <c r="D1524" s="1411">
        <f t="shared" si="288"/>
        <v>0</v>
      </c>
      <c r="E1524" s="993">
        <f>pp_NC!D197</f>
        <v>0</v>
      </c>
      <c r="F1524" s="988" t="str">
        <f>VLOOKUP($B1524,DG!A:D,DG!$C$2,)</f>
        <v>Cáp 24KV A/XLPE/PVC 95mm2</v>
      </c>
      <c r="G1524" s="976" t="str">
        <f>VLOOKUP($B1524,DG!A:D,DG!$D$2,)</f>
        <v>mét</v>
      </c>
      <c r="H1524" s="1689">
        <f t="shared" si="285"/>
        <v>0</v>
      </c>
      <c r="I1524" s="1689"/>
      <c r="J1524" s="1689">
        <f t="shared" si="286"/>
        <v>0</v>
      </c>
      <c r="K1524" s="1689"/>
      <c r="L1524" s="1689"/>
      <c r="M1524" s="1689"/>
      <c r="N1524" s="1689"/>
      <c r="O1524" s="1689"/>
      <c r="P1524" s="1689">
        <f t="shared" si="287"/>
        <v>0</v>
      </c>
      <c r="Q1524" s="985"/>
      <c r="R1524" s="985"/>
      <c r="S1524" s="985"/>
      <c r="T1524" s="1858">
        <f t="shared" si="279"/>
        <v>0</v>
      </c>
    </row>
    <row r="1525" spans="1:20" ht="22.2" hidden="1" customHeight="1">
      <c r="A1525" s="1444">
        <f>COUNTIF($C$12:C1525,"x")</f>
        <v>43</v>
      </c>
      <c r="B1525" s="1451" t="s">
        <v>56</v>
      </c>
      <c r="C1525" s="966" t="str">
        <f t="shared" si="281"/>
        <v xml:space="preserve"> </v>
      </c>
      <c r="D1525" s="1411">
        <f t="shared" si="288"/>
        <v>0</v>
      </c>
      <c r="E1525" s="993">
        <f>pp_NC!D198</f>
        <v>0</v>
      </c>
      <c r="F1525" s="988" t="str">
        <f>VLOOKUP($B1525,DG!A:D,DG!$C$2,)</f>
        <v>Cáp 24KV A/XLPE/PVC 70mm2</v>
      </c>
      <c r="G1525" s="976" t="str">
        <f>VLOOKUP($B1525,DG!A:D,DG!$D$2,)</f>
        <v>mét</v>
      </c>
      <c r="H1525" s="1689">
        <f t="shared" si="285"/>
        <v>0</v>
      </c>
      <c r="I1525" s="1689"/>
      <c r="J1525" s="1689">
        <f t="shared" si="286"/>
        <v>0</v>
      </c>
      <c r="K1525" s="1689"/>
      <c r="L1525" s="1689"/>
      <c r="M1525" s="1689"/>
      <c r="N1525" s="1689"/>
      <c r="O1525" s="1689"/>
      <c r="P1525" s="1689">
        <f t="shared" si="287"/>
        <v>0</v>
      </c>
      <c r="Q1525" s="985"/>
      <c r="R1525" s="985"/>
      <c r="S1525" s="985"/>
      <c r="T1525" s="1858">
        <f t="shared" si="279"/>
        <v>0</v>
      </c>
    </row>
    <row r="1526" spans="1:20" ht="22.2" hidden="1" customHeight="1">
      <c r="A1526" s="1444">
        <f>COUNTIF($C$12:C1526,"x")</f>
        <v>43</v>
      </c>
      <c r="B1526" s="1468" t="s">
        <v>2499</v>
      </c>
      <c r="C1526" s="966" t="str">
        <f t="shared" si="281"/>
        <v xml:space="preserve"> </v>
      </c>
      <c r="D1526" s="1411">
        <f>pp_NC!DK184</f>
        <v>0</v>
      </c>
      <c r="E1526" s="976"/>
      <c r="F1526" s="994" t="s">
        <v>2500</v>
      </c>
      <c r="G1526" s="995" t="s">
        <v>2439</v>
      </c>
      <c r="H1526" s="1689">
        <f t="shared" si="285"/>
        <v>0</v>
      </c>
      <c r="I1526" s="1689"/>
      <c r="J1526" s="1689">
        <f t="shared" si="286"/>
        <v>0</v>
      </c>
      <c r="K1526" s="1689"/>
      <c r="L1526" s="1689"/>
      <c r="M1526" s="1689"/>
      <c r="N1526" s="1689"/>
      <c r="O1526" s="1689"/>
      <c r="P1526" s="1689">
        <f t="shared" si="287"/>
        <v>0</v>
      </c>
      <c r="Q1526" s="985"/>
      <c r="R1526" s="985"/>
      <c r="S1526" s="985"/>
      <c r="T1526" s="1858">
        <f t="shared" si="279"/>
        <v>0</v>
      </c>
    </row>
    <row r="1527" spans="1:20" ht="22.2" hidden="1" customHeight="1">
      <c r="A1527" s="1444">
        <f>COUNTIF($C$12:C1527,"x")</f>
        <v>43</v>
      </c>
      <c r="B1527" s="1451" t="s">
        <v>1909</v>
      </c>
      <c r="C1527" s="966" t="str">
        <f t="shared" si="281"/>
        <v xml:space="preserve"> </v>
      </c>
      <c r="D1527" s="1411">
        <f>D1526</f>
        <v>0</v>
      </c>
      <c r="E1527" s="976"/>
      <c r="F1527" s="988" t="str">
        <f>VLOOKUP($B1527,DG!A:D,DG!$C$2,)</f>
        <v>Uclevis + sứ ống chỉ</v>
      </c>
      <c r="G1527" s="976" t="str">
        <f>VLOOKUP($B1527,DG!A:D,DG!$D$2,)</f>
        <v>bộ</v>
      </c>
      <c r="H1527" s="1689">
        <f t="shared" si="285"/>
        <v>0</v>
      </c>
      <c r="I1527" s="1689"/>
      <c r="J1527" s="1689">
        <f t="shared" si="286"/>
        <v>0</v>
      </c>
      <c r="K1527" s="1689"/>
      <c r="L1527" s="1689"/>
      <c r="M1527" s="1689"/>
      <c r="N1527" s="1689"/>
      <c r="O1527" s="1689"/>
      <c r="P1527" s="1689">
        <f t="shared" si="287"/>
        <v>0</v>
      </c>
      <c r="Q1527" s="985"/>
      <c r="R1527" s="985"/>
      <c r="S1527" s="985"/>
      <c r="T1527" s="1858">
        <f t="shared" si="279"/>
        <v>0</v>
      </c>
    </row>
    <row r="1528" spans="1:20" ht="22.2" hidden="1" customHeight="1">
      <c r="A1528" s="1444">
        <f>COUNTIF($C$12:C1528,"x")</f>
        <v>43</v>
      </c>
      <c r="B1528" s="1451" t="s">
        <v>1610</v>
      </c>
      <c r="C1528" s="966" t="str">
        <f t="shared" si="281"/>
        <v xml:space="preserve"> </v>
      </c>
      <c r="D1528" s="1411">
        <f>D1526</f>
        <v>0</v>
      </c>
      <c r="E1528" s="976"/>
      <c r="F1528" s="988" t="str">
        <f>VLOOKUP($B1528,DG!A:D,DG!$C$2,)</f>
        <v>Boulon 16x300+ 2 long đền vuông D18-50x50x3/Zn</v>
      </c>
      <c r="G1528" s="976" t="str">
        <f>VLOOKUP($B1528,DG!A:D,DG!$D$2,)</f>
        <v>bộ</v>
      </c>
      <c r="H1528" s="1689">
        <f t="shared" si="285"/>
        <v>0</v>
      </c>
      <c r="I1528" s="1689"/>
      <c r="J1528" s="1689">
        <f t="shared" si="286"/>
        <v>0</v>
      </c>
      <c r="K1528" s="1689"/>
      <c r="L1528" s="1689"/>
      <c r="M1528" s="1689"/>
      <c r="N1528" s="1689"/>
      <c r="O1528" s="1689"/>
      <c r="P1528" s="1689">
        <f t="shared" si="287"/>
        <v>0</v>
      </c>
      <c r="Q1528" s="985"/>
      <c r="R1528" s="985"/>
      <c r="S1528" s="985"/>
      <c r="T1528" s="1858">
        <f t="shared" si="279"/>
        <v>0</v>
      </c>
    </row>
    <row r="1529" spans="1:20" ht="22.2" hidden="1" customHeight="1">
      <c r="A1529" s="1444">
        <f>COUNTIF($C$12:C1529,"x")</f>
        <v>43</v>
      </c>
      <c r="B1529" s="1468" t="s">
        <v>1621</v>
      </c>
      <c r="C1529" s="966" t="str">
        <f t="shared" si="281"/>
        <v xml:space="preserve"> </v>
      </c>
      <c r="D1529" s="1411">
        <f>pp_NC!DM184</f>
        <v>0</v>
      </c>
      <c r="E1529" s="976"/>
      <c r="F1529" s="994" t="s">
        <v>2501</v>
      </c>
      <c r="G1529" s="995" t="s">
        <v>2439</v>
      </c>
      <c r="H1529" s="1689">
        <f t="shared" si="285"/>
        <v>0</v>
      </c>
      <c r="I1529" s="1689"/>
      <c r="J1529" s="1689">
        <f t="shared" si="286"/>
        <v>0</v>
      </c>
      <c r="K1529" s="1689"/>
      <c r="L1529" s="1689"/>
      <c r="M1529" s="1689"/>
      <c r="N1529" s="1689"/>
      <c r="O1529" s="1689"/>
      <c r="P1529" s="1689">
        <f t="shared" si="287"/>
        <v>0</v>
      </c>
      <c r="Q1529" s="985"/>
      <c r="R1529" s="985"/>
      <c r="S1529" s="985"/>
      <c r="T1529" s="1858">
        <f t="shared" si="279"/>
        <v>0</v>
      </c>
    </row>
    <row r="1530" spans="1:20" ht="22.2" hidden="1" customHeight="1">
      <c r="A1530" s="1444">
        <f>COUNTIF($C$12:C1530,"x")</f>
        <v>43</v>
      </c>
      <c r="B1530" s="1451" t="s">
        <v>1909</v>
      </c>
      <c r="C1530" s="966" t="str">
        <f t="shared" si="281"/>
        <v xml:space="preserve"> </v>
      </c>
      <c r="D1530" s="1411">
        <f>D1529</f>
        <v>0</v>
      </c>
      <c r="E1530" s="976"/>
      <c r="F1530" s="988" t="str">
        <f>VLOOKUP($B1530,DG!A:D,DG!$C$2,)</f>
        <v>Uclevis + sứ ống chỉ</v>
      </c>
      <c r="G1530" s="976" t="str">
        <f>VLOOKUP($B1530,DG!A:D,DG!$D$2,)</f>
        <v>bộ</v>
      </c>
      <c r="H1530" s="1689">
        <f t="shared" si="285"/>
        <v>0</v>
      </c>
      <c r="I1530" s="1689"/>
      <c r="J1530" s="1689">
        <f t="shared" si="286"/>
        <v>0</v>
      </c>
      <c r="K1530" s="1689"/>
      <c r="L1530" s="1689"/>
      <c r="M1530" s="1689"/>
      <c r="N1530" s="1689"/>
      <c r="O1530" s="1689"/>
      <c r="P1530" s="1689">
        <f t="shared" si="287"/>
        <v>0</v>
      </c>
      <c r="Q1530" s="985"/>
      <c r="R1530" s="985"/>
      <c r="S1530" s="985"/>
      <c r="T1530" s="1858">
        <f t="shared" si="279"/>
        <v>0</v>
      </c>
    </row>
    <row r="1531" spans="1:20" ht="22.2" hidden="1" customHeight="1">
      <c r="A1531" s="1444">
        <f>COUNTIF($C$12:C1531,"x")</f>
        <v>43</v>
      </c>
      <c r="B1531" s="1451" t="s">
        <v>1610</v>
      </c>
      <c r="C1531" s="966" t="str">
        <f t="shared" si="281"/>
        <v xml:space="preserve"> </v>
      </c>
      <c r="D1531" s="1411">
        <f>D1529</f>
        <v>0</v>
      </c>
      <c r="E1531" s="976"/>
      <c r="F1531" s="988" t="str">
        <f>VLOOKUP($B1531,DG!A:D,DG!$C$2,)</f>
        <v>Boulon 16x300+ 2 long đền vuông D18-50x50x3/Zn</v>
      </c>
      <c r="G1531" s="976" t="str">
        <f>VLOOKUP($B1531,DG!A:D,DG!$D$2,)</f>
        <v>bộ</v>
      </c>
      <c r="H1531" s="1689">
        <f t="shared" si="285"/>
        <v>0</v>
      </c>
      <c r="I1531" s="1689"/>
      <c r="J1531" s="1689">
        <f t="shared" si="286"/>
        <v>0</v>
      </c>
      <c r="K1531" s="1689"/>
      <c r="L1531" s="1689"/>
      <c r="M1531" s="1689"/>
      <c r="N1531" s="1689"/>
      <c r="O1531" s="1689"/>
      <c r="P1531" s="1689">
        <f t="shared" si="287"/>
        <v>0</v>
      </c>
      <c r="Q1531" s="985"/>
      <c r="R1531" s="985"/>
      <c r="S1531" s="985"/>
      <c r="T1531" s="1858">
        <f t="shared" si="279"/>
        <v>0</v>
      </c>
    </row>
    <row r="1532" spans="1:20" ht="22.2" hidden="1" customHeight="1">
      <c r="A1532" s="1444">
        <f>COUNTIF($C$12:C1532,"x")</f>
        <v>43</v>
      </c>
      <c r="B1532" s="1451" t="s">
        <v>1851</v>
      </c>
      <c r="C1532" s="966" t="str">
        <f t="shared" si="281"/>
        <v xml:space="preserve"> </v>
      </c>
      <c r="D1532" s="1411">
        <f>D1529*3</f>
        <v>0</v>
      </c>
      <c r="E1532" s="976"/>
      <c r="F1532" s="988" t="str">
        <f>VLOOKUP($B1532,DG!A:D,DG!$C$2,)</f>
        <v>Kẹp 2 rãnh cỡ dây 50mm2</v>
      </c>
      <c r="G1532" s="976" t="str">
        <f>VLOOKUP($B1532,DG!A:D,DG!$D$2,)</f>
        <v>cái</v>
      </c>
      <c r="H1532" s="1689">
        <f t="shared" si="285"/>
        <v>0</v>
      </c>
      <c r="I1532" s="1689"/>
      <c r="J1532" s="1689">
        <f t="shared" si="286"/>
        <v>0</v>
      </c>
      <c r="K1532" s="1689"/>
      <c r="L1532" s="1689"/>
      <c r="M1532" s="1689"/>
      <c r="N1532" s="1689"/>
      <c r="O1532" s="1689"/>
      <c r="P1532" s="1689">
        <f t="shared" si="287"/>
        <v>0</v>
      </c>
      <c r="Q1532" s="985"/>
      <c r="R1532" s="985"/>
      <c r="S1532" s="985"/>
      <c r="T1532" s="1858">
        <f t="shared" si="279"/>
        <v>0</v>
      </c>
    </row>
    <row r="1533" spans="1:20" ht="22.2" hidden="1" customHeight="1">
      <c r="A1533" s="1444">
        <f>COUNTIF($C$12:C1533,"x")</f>
        <v>43</v>
      </c>
      <c r="B1533" s="1468" t="s">
        <v>1622</v>
      </c>
      <c r="C1533" s="966" t="str">
        <f t="shared" si="281"/>
        <v xml:space="preserve"> </v>
      </c>
      <c r="D1533" s="1411">
        <f>pp_NC!DN184</f>
        <v>0</v>
      </c>
      <c r="E1533" s="976"/>
      <c r="F1533" s="994" t="s">
        <v>2502</v>
      </c>
      <c r="G1533" s="995" t="s">
        <v>2439</v>
      </c>
      <c r="H1533" s="1689">
        <f t="shared" si="285"/>
        <v>0</v>
      </c>
      <c r="I1533" s="1689"/>
      <c r="J1533" s="1689">
        <f t="shared" si="286"/>
        <v>0</v>
      </c>
      <c r="K1533" s="1689"/>
      <c r="L1533" s="1689"/>
      <c r="M1533" s="1689"/>
      <c r="N1533" s="1689"/>
      <c r="O1533" s="1689"/>
      <c r="P1533" s="1689">
        <f t="shared" si="287"/>
        <v>0</v>
      </c>
      <c r="Q1533" s="985"/>
      <c r="R1533" s="985"/>
      <c r="S1533" s="985"/>
      <c r="T1533" s="1858">
        <f t="shared" si="279"/>
        <v>0</v>
      </c>
    </row>
    <row r="1534" spans="1:20" ht="22.2" hidden="1" customHeight="1">
      <c r="A1534" s="1444">
        <f>COUNTIF($C$12:C1534,"x")</f>
        <v>43</v>
      </c>
      <c r="B1534" s="1469" t="s">
        <v>904</v>
      </c>
      <c r="C1534" s="966" t="str">
        <f t="shared" si="281"/>
        <v xml:space="preserve"> </v>
      </c>
      <c r="D1534" s="1411">
        <f>D1533</f>
        <v>0</v>
      </c>
      <c r="E1534" s="976"/>
      <c r="F1534" s="988" t="str">
        <f>VLOOKUP($B1534,DG!A:D,DG!$C$2,)</f>
        <v>Khóa néo dây cỡ dây 50</v>
      </c>
      <c r="G1534" s="976" t="str">
        <f>VLOOKUP($B1534,DG!A:D,DG!$D$2,)</f>
        <v>cái</v>
      </c>
      <c r="H1534" s="1689">
        <f t="shared" si="285"/>
        <v>0</v>
      </c>
      <c r="I1534" s="1689"/>
      <c r="J1534" s="1689">
        <f t="shared" si="286"/>
        <v>0</v>
      </c>
      <c r="K1534" s="1689"/>
      <c r="L1534" s="1689"/>
      <c r="M1534" s="1689"/>
      <c r="N1534" s="1689"/>
      <c r="O1534" s="1689"/>
      <c r="P1534" s="1689">
        <f t="shared" si="287"/>
        <v>0</v>
      </c>
      <c r="Q1534" s="985"/>
      <c r="R1534" s="985"/>
      <c r="S1534" s="985"/>
      <c r="T1534" s="1858">
        <f t="shared" si="279"/>
        <v>0</v>
      </c>
    </row>
    <row r="1535" spans="1:20" ht="22.2" hidden="1" customHeight="1">
      <c r="A1535" s="1444">
        <f>COUNTIF($C$12:C1535,"x")</f>
        <v>43</v>
      </c>
      <c r="B1535" s="1451" t="s">
        <v>1486</v>
      </c>
      <c r="C1535" s="966" t="str">
        <f t="shared" si="281"/>
        <v xml:space="preserve"> </v>
      </c>
      <c r="D1535" s="1411">
        <f>D1533*2</f>
        <v>0</v>
      </c>
      <c r="E1535" s="976"/>
      <c r="F1535" s="988" t="str">
        <f>VLOOKUP($B1535,DG!A:D,DG!$C$2,)</f>
        <v xml:space="preserve">Móc treo chữ U </v>
      </c>
      <c r="G1535" s="976" t="str">
        <f>VLOOKUP($B1535,DG!A:D,DG!$D$2,)</f>
        <v>cái</v>
      </c>
      <c r="H1535" s="1689">
        <f t="shared" si="285"/>
        <v>0</v>
      </c>
      <c r="I1535" s="1689"/>
      <c r="J1535" s="1689">
        <f t="shared" si="286"/>
        <v>0</v>
      </c>
      <c r="K1535" s="1689"/>
      <c r="L1535" s="1689"/>
      <c r="M1535" s="1689"/>
      <c r="N1535" s="1689"/>
      <c r="O1535" s="1689"/>
      <c r="P1535" s="1689">
        <f t="shared" si="287"/>
        <v>0</v>
      </c>
      <c r="Q1535" s="985"/>
      <c r="R1535" s="985"/>
      <c r="S1535" s="985"/>
      <c r="T1535" s="1858">
        <f t="shared" ref="T1535:T1598" si="289">IFERROR(HLOOKUP(B1535,BangKeTru,3,0),0)</f>
        <v>0</v>
      </c>
    </row>
    <row r="1536" spans="1:20" ht="22.2" hidden="1" customHeight="1">
      <c r="A1536" s="1444">
        <f>COUNTIF($C$12:C1536,"x")</f>
        <v>43</v>
      </c>
      <c r="B1536" s="1451" t="s">
        <v>417</v>
      </c>
      <c r="C1536" s="966" t="str">
        <f t="shared" si="281"/>
        <v xml:space="preserve"> </v>
      </c>
      <c r="D1536" s="1411">
        <f>D1534</f>
        <v>0</v>
      </c>
      <c r="E1536" s="976"/>
      <c r="F1536" s="988" t="str">
        <f>VLOOKUP($B1536,DG!A:D,DG!$C$2,)</f>
        <v>Boulon mắt 16x300+ 2 long đền vuông D18-50x50x3/Zn</v>
      </c>
      <c r="G1536" s="976" t="str">
        <f>VLOOKUP($B1536,DG!A:D,DG!$D$2,)</f>
        <v>bộ</v>
      </c>
      <c r="H1536" s="1689">
        <f t="shared" si="285"/>
        <v>0</v>
      </c>
      <c r="I1536" s="1689"/>
      <c r="J1536" s="1689">
        <f t="shared" si="286"/>
        <v>0</v>
      </c>
      <c r="K1536" s="1689"/>
      <c r="L1536" s="1689"/>
      <c r="M1536" s="1689"/>
      <c r="N1536" s="1689"/>
      <c r="O1536" s="1689"/>
      <c r="P1536" s="1689">
        <f t="shared" si="287"/>
        <v>0</v>
      </c>
      <c r="Q1536" s="985"/>
      <c r="R1536" s="985"/>
      <c r="S1536" s="985"/>
      <c r="T1536" s="1858">
        <f t="shared" si="289"/>
        <v>0</v>
      </c>
    </row>
    <row r="1537" spans="1:20" ht="22.2" hidden="1" customHeight="1">
      <c r="A1537" s="1444">
        <f>COUNTIF($C$12:C1537,"x")</f>
        <v>43</v>
      </c>
      <c r="B1537" s="1451" t="s">
        <v>1579</v>
      </c>
      <c r="C1537" s="966" t="str">
        <f t="shared" si="281"/>
        <v xml:space="preserve"> </v>
      </c>
      <c r="D1537" s="1411">
        <f>D1533</f>
        <v>0</v>
      </c>
      <c r="E1537" s="976"/>
      <c r="F1537" s="988" t="str">
        <f>VLOOKUP($B1537,DG!A:D,DG!$C$2,)</f>
        <v>Kẹp ép WR cỡ dây 50mm2</v>
      </c>
      <c r="G1537" s="976" t="str">
        <f>VLOOKUP($B1537,DG!A:D,DG!$D$2,)</f>
        <v>cái</v>
      </c>
      <c r="H1537" s="1689">
        <f t="shared" si="285"/>
        <v>0</v>
      </c>
      <c r="I1537" s="1689"/>
      <c r="J1537" s="1689">
        <f t="shared" si="286"/>
        <v>0</v>
      </c>
      <c r="K1537" s="1689"/>
      <c r="L1537" s="1689"/>
      <c r="M1537" s="1689"/>
      <c r="N1537" s="1689"/>
      <c r="O1537" s="1689"/>
      <c r="P1537" s="1689">
        <f t="shared" si="287"/>
        <v>0</v>
      </c>
      <c r="Q1537" s="985"/>
      <c r="R1537" s="985"/>
      <c r="S1537" s="985"/>
      <c r="T1537" s="1858">
        <f t="shared" si="289"/>
        <v>0</v>
      </c>
    </row>
    <row r="1538" spans="1:20" ht="22.2" hidden="1" customHeight="1">
      <c r="A1538" s="1444">
        <f>COUNTIF($C$12:C1538,"x")</f>
        <v>43</v>
      </c>
      <c r="B1538" s="1468" t="s">
        <v>2160</v>
      </c>
      <c r="C1538" s="966" t="str">
        <f t="shared" si="281"/>
        <v xml:space="preserve"> </v>
      </c>
      <c r="D1538" s="1411">
        <f>pp_NC!DO95</f>
        <v>0</v>
      </c>
      <c r="E1538" s="976"/>
      <c r="F1538" s="994" t="s">
        <v>2503</v>
      </c>
      <c r="G1538" s="995" t="s">
        <v>2439</v>
      </c>
      <c r="H1538" s="1689">
        <f t="shared" si="285"/>
        <v>0</v>
      </c>
      <c r="I1538" s="1689"/>
      <c r="J1538" s="1689">
        <f t="shared" si="286"/>
        <v>0</v>
      </c>
      <c r="K1538" s="1689"/>
      <c r="L1538" s="1689"/>
      <c r="M1538" s="1689"/>
      <c r="N1538" s="1689"/>
      <c r="O1538" s="1689"/>
      <c r="P1538" s="1689">
        <f t="shared" si="287"/>
        <v>0</v>
      </c>
      <c r="Q1538" s="985"/>
      <c r="R1538" s="985"/>
      <c r="S1538" s="985"/>
      <c r="T1538" s="1858">
        <f t="shared" si="289"/>
        <v>0</v>
      </c>
    </row>
    <row r="1539" spans="1:20" ht="22.2" hidden="1" customHeight="1">
      <c r="A1539" s="1444">
        <f>COUNTIF($C$12:C1539,"x")</f>
        <v>43</v>
      </c>
      <c r="B1539" s="1469" t="s">
        <v>904</v>
      </c>
      <c r="C1539" s="966" t="str">
        <f t="shared" si="281"/>
        <v xml:space="preserve"> </v>
      </c>
      <c r="D1539" s="1411">
        <f>D1538</f>
        <v>0</v>
      </c>
      <c r="E1539" s="976"/>
      <c r="F1539" s="988" t="str">
        <f>VLOOKUP($B1539,DG!A:D,DG!$C$2,)</f>
        <v>Khóa néo dây cỡ dây 50</v>
      </c>
      <c r="G1539" s="976" t="str">
        <f>VLOOKUP($B1539,DG!A:D,DG!$D$2,)</f>
        <v>cái</v>
      </c>
      <c r="H1539" s="1689">
        <f t="shared" si="285"/>
        <v>0</v>
      </c>
      <c r="I1539" s="1689"/>
      <c r="J1539" s="1689">
        <f t="shared" si="286"/>
        <v>0</v>
      </c>
      <c r="K1539" s="1689"/>
      <c r="L1539" s="1689"/>
      <c r="M1539" s="1689"/>
      <c r="N1539" s="1689"/>
      <c r="O1539" s="1689"/>
      <c r="P1539" s="1689">
        <f t="shared" si="287"/>
        <v>0</v>
      </c>
      <c r="Q1539" s="985"/>
      <c r="R1539" s="985"/>
      <c r="S1539" s="985"/>
      <c r="T1539" s="1858">
        <f t="shared" si="289"/>
        <v>0</v>
      </c>
    </row>
    <row r="1540" spans="1:20" ht="22.2" hidden="1" customHeight="1">
      <c r="A1540" s="1444">
        <f>COUNTIF($C$12:C1540,"x")</f>
        <v>43</v>
      </c>
      <c r="B1540" s="1451" t="s">
        <v>1486</v>
      </c>
      <c r="C1540" s="966" t="str">
        <f t="shared" si="281"/>
        <v xml:space="preserve"> </v>
      </c>
      <c r="D1540" s="1411">
        <f>D1538*2</f>
        <v>0</v>
      </c>
      <c r="E1540" s="976"/>
      <c r="F1540" s="988" t="str">
        <f>VLOOKUP($B1540,DG!A:D,DG!$C$2,)</f>
        <v xml:space="preserve">Móc treo chữ U </v>
      </c>
      <c r="G1540" s="976" t="str">
        <f>VLOOKUP($B1540,DG!A:D,DG!$D$2,)</f>
        <v>cái</v>
      </c>
      <c r="H1540" s="1689">
        <f t="shared" si="285"/>
        <v>0</v>
      </c>
      <c r="I1540" s="1689"/>
      <c r="J1540" s="1689">
        <f t="shared" si="286"/>
        <v>0</v>
      </c>
      <c r="K1540" s="1689"/>
      <c r="L1540" s="1689"/>
      <c r="M1540" s="1689"/>
      <c r="N1540" s="1689"/>
      <c r="O1540" s="1689"/>
      <c r="P1540" s="1689">
        <f t="shared" si="287"/>
        <v>0</v>
      </c>
      <c r="Q1540" s="985"/>
      <c r="R1540" s="985"/>
      <c r="S1540" s="985"/>
      <c r="T1540" s="1858">
        <f t="shared" si="289"/>
        <v>0</v>
      </c>
    </row>
    <row r="1541" spans="1:20" ht="22.2" hidden="1" customHeight="1">
      <c r="A1541" s="1444">
        <f>COUNTIF($C$12:C1541,"x")</f>
        <v>43</v>
      </c>
      <c r="B1541" s="1451" t="s">
        <v>1579</v>
      </c>
      <c r="C1541" s="966" t="str">
        <f t="shared" si="281"/>
        <v xml:space="preserve"> </v>
      </c>
      <c r="D1541" s="1411">
        <f>D1538*2</f>
        <v>0</v>
      </c>
      <c r="E1541" s="976"/>
      <c r="F1541" s="988" t="str">
        <f>VLOOKUP($B1541,DG!A:D,DG!$C$2,)</f>
        <v>Kẹp ép WR cỡ dây 50mm2</v>
      </c>
      <c r="G1541" s="976" t="str">
        <f>VLOOKUP($B1541,DG!A:D,DG!$D$2,)</f>
        <v>cái</v>
      </c>
      <c r="H1541" s="1689">
        <f t="shared" si="285"/>
        <v>0</v>
      </c>
      <c r="I1541" s="1689"/>
      <c r="J1541" s="1689">
        <f t="shared" si="286"/>
        <v>0</v>
      </c>
      <c r="K1541" s="1689"/>
      <c r="L1541" s="1689"/>
      <c r="M1541" s="1689"/>
      <c r="N1541" s="1689"/>
      <c r="O1541" s="1689"/>
      <c r="P1541" s="1689">
        <f t="shared" si="287"/>
        <v>0</v>
      </c>
      <c r="Q1541" s="985"/>
      <c r="R1541" s="985"/>
      <c r="S1541" s="985"/>
      <c r="T1541" s="1858">
        <f t="shared" si="289"/>
        <v>0</v>
      </c>
    </row>
    <row r="1542" spans="1:20" ht="22.2" hidden="1" customHeight="1">
      <c r="A1542" s="1444">
        <f>COUNTIF($C$12:C1542,"x")</f>
        <v>43</v>
      </c>
      <c r="B1542" s="1454" t="s">
        <v>2504</v>
      </c>
      <c r="C1542" s="966" t="str">
        <f t="shared" si="281"/>
        <v xml:space="preserve"> </v>
      </c>
      <c r="D1542" s="1411">
        <f>pp_NC!DH184</f>
        <v>0</v>
      </c>
      <c r="E1542" s="976"/>
      <c r="F1542" s="994" t="s">
        <v>2505</v>
      </c>
      <c r="G1542" s="995" t="s">
        <v>2439</v>
      </c>
      <c r="H1542" s="1689">
        <f t="shared" si="285"/>
        <v>0</v>
      </c>
      <c r="I1542" s="1689"/>
      <c r="J1542" s="1689">
        <f t="shared" si="286"/>
        <v>0</v>
      </c>
      <c r="K1542" s="1689"/>
      <c r="L1542" s="1689"/>
      <c r="M1542" s="1689"/>
      <c r="N1542" s="1689"/>
      <c r="O1542" s="1689"/>
      <c r="P1542" s="1689">
        <f t="shared" si="287"/>
        <v>0</v>
      </c>
      <c r="Q1542" s="985"/>
      <c r="R1542" s="985"/>
      <c r="S1542" s="985"/>
      <c r="T1542" s="1858">
        <f t="shared" si="289"/>
        <v>0</v>
      </c>
    </row>
    <row r="1543" spans="1:20" ht="22.2" hidden="1" customHeight="1">
      <c r="A1543" s="1444">
        <f>COUNTIF($C$12:C1543,"x")</f>
        <v>43</v>
      </c>
      <c r="B1543" s="1447" t="s">
        <v>696</v>
      </c>
      <c r="C1543" s="966" t="str">
        <f t="shared" ref="C1543:C1606" si="290">IF(OR(P1543&lt;&gt;0,H1543&lt;&gt;0),"x"," ")</f>
        <v xml:space="preserve"> </v>
      </c>
      <c r="D1543" s="1411">
        <f>D1542</f>
        <v>0</v>
      </c>
      <c r="E1543" s="976"/>
      <c r="F1543" s="988" t="str">
        <f>VLOOKUP($B1543,DG!A:D,DG!$C$2,)</f>
        <v xml:space="preserve">Sứ đứng 24KV </v>
      </c>
      <c r="G1543" s="976" t="str">
        <f>VLOOKUP($B1543,DG!A:D,DG!$D$2,)</f>
        <v>cái</v>
      </c>
      <c r="H1543" s="1689">
        <f t="shared" si="285"/>
        <v>0</v>
      </c>
      <c r="I1543" s="1689"/>
      <c r="J1543" s="1689">
        <f t="shared" si="286"/>
        <v>0</v>
      </c>
      <c r="K1543" s="1689"/>
      <c r="L1543" s="1689"/>
      <c r="M1543" s="1689"/>
      <c r="N1543" s="1689"/>
      <c r="O1543" s="1689"/>
      <c r="P1543" s="1689">
        <f t="shared" si="287"/>
        <v>0</v>
      </c>
      <c r="Q1543" s="985"/>
      <c r="R1543" s="985"/>
      <c r="S1543" s="985"/>
      <c r="T1543" s="1858">
        <f t="shared" si="289"/>
        <v>0</v>
      </c>
    </row>
    <row r="1544" spans="1:20" ht="22.2" hidden="1" customHeight="1">
      <c r="A1544" s="1444">
        <f>COUNTIF($C$12:C1544,"x")</f>
        <v>43</v>
      </c>
      <c r="B1544" s="1447" t="s">
        <v>1265</v>
      </c>
      <c r="C1544" s="966" t="str">
        <f t="shared" si="290"/>
        <v xml:space="preserve"> </v>
      </c>
      <c r="D1544" s="1411">
        <f>D1542</f>
        <v>0</v>
      </c>
      <c r="E1544" s="976"/>
      <c r="F1544" s="988" t="str">
        <f>VLOOKUP($B1544,DG!A:D,DG!$C$2,)</f>
        <v>Chân sứ đứng D20</v>
      </c>
      <c r="G1544" s="976" t="str">
        <f>VLOOKUP($B1544,DG!A:D,DG!$D$2,)</f>
        <v>cái</v>
      </c>
      <c r="H1544" s="1689">
        <f t="shared" ref="H1544:H1575" si="291">$D1544</f>
        <v>0</v>
      </c>
      <c r="I1544" s="1689"/>
      <c r="J1544" s="1689">
        <f t="shared" ref="J1544:J1575" si="292">D1544</f>
        <v>0</v>
      </c>
      <c r="K1544" s="1689"/>
      <c r="L1544" s="1689"/>
      <c r="M1544" s="1689"/>
      <c r="N1544" s="1689"/>
      <c r="O1544" s="1689"/>
      <c r="P1544" s="1689">
        <f t="shared" si="287"/>
        <v>0</v>
      </c>
      <c r="Q1544" s="985"/>
      <c r="R1544" s="985"/>
      <c r="S1544" s="985"/>
      <c r="T1544" s="1858">
        <f t="shared" si="289"/>
        <v>0</v>
      </c>
    </row>
    <row r="1545" spans="1:20" ht="22.2" hidden="1" customHeight="1">
      <c r="A1545" s="1444">
        <f>COUNTIF($C$12:C1545,"x")</f>
        <v>43</v>
      </c>
      <c r="B1545" s="1468" t="s">
        <v>2506</v>
      </c>
      <c r="C1545" s="966" t="str">
        <f t="shared" si="290"/>
        <v xml:space="preserve"> </v>
      </c>
      <c r="D1545" s="1411">
        <f>pp_NC!DF184</f>
        <v>0</v>
      </c>
      <c r="E1545" s="976"/>
      <c r="F1545" s="994" t="s">
        <v>2507</v>
      </c>
      <c r="G1545" s="995" t="s">
        <v>2439</v>
      </c>
      <c r="H1545" s="1689">
        <f t="shared" si="291"/>
        <v>0</v>
      </c>
      <c r="I1545" s="1689"/>
      <c r="J1545" s="1689">
        <f t="shared" si="292"/>
        <v>0</v>
      </c>
      <c r="K1545" s="1689"/>
      <c r="L1545" s="1689"/>
      <c r="M1545" s="1689"/>
      <c r="N1545" s="1689"/>
      <c r="O1545" s="1689"/>
      <c r="P1545" s="1689">
        <f t="shared" si="287"/>
        <v>0</v>
      </c>
      <c r="Q1545" s="985"/>
      <c r="R1545" s="985"/>
      <c r="S1545" s="985"/>
      <c r="T1545" s="1858">
        <f t="shared" si="289"/>
        <v>0</v>
      </c>
    </row>
    <row r="1546" spans="1:20" ht="22.2" hidden="1" customHeight="1">
      <c r="A1546" s="1444">
        <f>COUNTIF($C$12:C1546,"x")</f>
        <v>43</v>
      </c>
      <c r="B1546" s="1451" t="s">
        <v>696</v>
      </c>
      <c r="C1546" s="966" t="str">
        <f t="shared" si="290"/>
        <v xml:space="preserve"> </v>
      </c>
      <c r="D1546" s="1411">
        <f>D1545</f>
        <v>0</v>
      </c>
      <c r="E1546" s="976"/>
      <c r="F1546" s="988" t="str">
        <f>VLOOKUP($B1546,DG!A:D,DG!$C$2,)</f>
        <v xml:space="preserve">Sứ đứng 24KV </v>
      </c>
      <c r="G1546" s="976" t="str">
        <f>VLOOKUP($B1546,DG!A:D,DG!$D$2,)</f>
        <v>cái</v>
      </c>
      <c r="H1546" s="1689">
        <f t="shared" si="291"/>
        <v>0</v>
      </c>
      <c r="I1546" s="1689"/>
      <c r="J1546" s="1689">
        <f t="shared" si="292"/>
        <v>0</v>
      </c>
      <c r="K1546" s="1689"/>
      <c r="L1546" s="1689"/>
      <c r="M1546" s="1689"/>
      <c r="N1546" s="1689"/>
      <c r="O1546" s="1689"/>
      <c r="P1546" s="1689">
        <f t="shared" si="287"/>
        <v>0</v>
      </c>
      <c r="Q1546" s="985"/>
      <c r="R1546" s="985"/>
      <c r="S1546" s="985"/>
      <c r="T1546" s="1858">
        <f t="shared" si="289"/>
        <v>0</v>
      </c>
    </row>
    <row r="1547" spans="1:20" ht="22.2" hidden="1" customHeight="1">
      <c r="A1547" s="1444">
        <f>COUNTIF($C$12:C1547,"x")</f>
        <v>43</v>
      </c>
      <c r="B1547" s="1451" t="s">
        <v>1266</v>
      </c>
      <c r="C1547" s="966" t="str">
        <f t="shared" si="290"/>
        <v xml:space="preserve"> </v>
      </c>
      <c r="D1547" s="1411">
        <f>D1545</f>
        <v>0</v>
      </c>
      <c r="E1547" s="976"/>
      <c r="F1547" s="988" t="str">
        <f>VLOOKUP($B1547,DG!A:D,DG!$C$2,)</f>
        <v>Chân sứ đỉnh thẳng dài 870mm</v>
      </c>
      <c r="G1547" s="976" t="str">
        <f>VLOOKUP($B1547,DG!A:D,DG!$D$2,)</f>
        <v>cái</v>
      </c>
      <c r="H1547" s="1689">
        <f t="shared" si="291"/>
        <v>0</v>
      </c>
      <c r="I1547" s="1689"/>
      <c r="J1547" s="1689">
        <f t="shared" si="292"/>
        <v>0</v>
      </c>
      <c r="K1547" s="1689"/>
      <c r="L1547" s="1689"/>
      <c r="M1547" s="1689"/>
      <c r="N1547" s="1689"/>
      <c r="O1547" s="1689"/>
      <c r="P1547" s="1689">
        <f t="shared" si="287"/>
        <v>0</v>
      </c>
      <c r="Q1547" s="985"/>
      <c r="R1547" s="985"/>
      <c r="S1547" s="985"/>
      <c r="T1547" s="1858">
        <f t="shared" si="289"/>
        <v>0</v>
      </c>
    </row>
    <row r="1548" spans="1:20" ht="22.2" hidden="1" customHeight="1">
      <c r="A1548" s="1444">
        <f>COUNTIF($C$12:C1548,"x")</f>
        <v>43</v>
      </c>
      <c r="B1548" s="1451" t="s">
        <v>1610</v>
      </c>
      <c r="C1548" s="966" t="str">
        <f t="shared" si="290"/>
        <v xml:space="preserve"> </v>
      </c>
      <c r="D1548" s="1411">
        <f>D1545*2</f>
        <v>0</v>
      </c>
      <c r="E1548" s="976"/>
      <c r="F1548" s="988" t="str">
        <f>VLOOKUP($B1548,DG!A:D,DG!$C$2,)</f>
        <v>Boulon 16x300+ 2 long đền vuông D18-50x50x3/Zn</v>
      </c>
      <c r="G1548" s="976" t="str">
        <f>VLOOKUP($B1548,DG!A:D,DG!$D$2,)</f>
        <v>bộ</v>
      </c>
      <c r="H1548" s="1689">
        <f t="shared" si="291"/>
        <v>0</v>
      </c>
      <c r="I1548" s="1689"/>
      <c r="J1548" s="1689">
        <f t="shared" si="292"/>
        <v>0</v>
      </c>
      <c r="K1548" s="1689"/>
      <c r="L1548" s="1689"/>
      <c r="M1548" s="1689"/>
      <c r="N1548" s="1689"/>
      <c r="O1548" s="1689"/>
      <c r="P1548" s="1689">
        <f t="shared" si="287"/>
        <v>0</v>
      </c>
      <c r="Q1548" s="985"/>
      <c r="R1548" s="985"/>
      <c r="S1548" s="985"/>
      <c r="T1548" s="1858">
        <f t="shared" si="289"/>
        <v>0</v>
      </c>
    </row>
    <row r="1549" spans="1:20" ht="22.2" hidden="1" customHeight="1">
      <c r="A1549" s="1444">
        <f>COUNTIF($C$12:C1549,"x")</f>
        <v>43</v>
      </c>
      <c r="B1549" s="1470" t="s">
        <v>2508</v>
      </c>
      <c r="C1549" s="966" t="str">
        <f t="shared" si="290"/>
        <v xml:space="preserve"> </v>
      </c>
      <c r="D1549" s="1414">
        <f>pp_NC!DG184</f>
        <v>0</v>
      </c>
      <c r="E1549" s="980"/>
      <c r="F1549" s="994" t="s">
        <v>2509</v>
      </c>
      <c r="G1549" s="1212" t="s">
        <v>2439</v>
      </c>
      <c r="H1549" s="1689">
        <f t="shared" si="291"/>
        <v>0</v>
      </c>
      <c r="I1549" s="1690"/>
      <c r="J1549" s="1689">
        <f t="shared" si="292"/>
        <v>0</v>
      </c>
      <c r="K1549" s="1690"/>
      <c r="L1549" s="1690"/>
      <c r="M1549" s="1690"/>
      <c r="N1549" s="1690"/>
      <c r="O1549" s="1690"/>
      <c r="P1549" s="1689">
        <f t="shared" si="287"/>
        <v>0</v>
      </c>
      <c r="Q1549" s="985"/>
      <c r="R1549" s="985"/>
      <c r="S1549" s="985"/>
      <c r="T1549" s="1858">
        <f t="shared" si="289"/>
        <v>0</v>
      </c>
    </row>
    <row r="1550" spans="1:20" ht="22.2" hidden="1" customHeight="1">
      <c r="A1550" s="1444">
        <f>COUNTIF($C$12:C1550,"x")</f>
        <v>43</v>
      </c>
      <c r="B1550" s="1451" t="s">
        <v>696</v>
      </c>
      <c r="C1550" s="966" t="str">
        <f t="shared" si="290"/>
        <v xml:space="preserve"> </v>
      </c>
      <c r="D1550" s="1414">
        <f>D1549*2</f>
        <v>0</v>
      </c>
      <c r="E1550" s="980"/>
      <c r="F1550" s="988" t="str">
        <f>VLOOKUP($B1550,DG!A:D,DG!$C$2,)</f>
        <v xml:space="preserve">Sứ đứng 24KV </v>
      </c>
      <c r="G1550" s="976" t="str">
        <f>VLOOKUP($B1550,DG!A:D,DG!$D$2,)</f>
        <v>cái</v>
      </c>
      <c r="H1550" s="1689">
        <f t="shared" si="291"/>
        <v>0</v>
      </c>
      <c r="I1550" s="1690"/>
      <c r="J1550" s="1689">
        <f t="shared" si="292"/>
        <v>0</v>
      </c>
      <c r="K1550" s="1690"/>
      <c r="L1550" s="1690"/>
      <c r="M1550" s="1690"/>
      <c r="N1550" s="1690"/>
      <c r="O1550" s="1690"/>
      <c r="P1550" s="1689">
        <f t="shared" si="287"/>
        <v>0</v>
      </c>
      <c r="Q1550" s="985"/>
      <c r="R1550" s="985"/>
      <c r="S1550" s="985"/>
      <c r="T1550" s="1858">
        <f t="shared" si="289"/>
        <v>0</v>
      </c>
    </row>
    <row r="1551" spans="1:20" ht="22.2" hidden="1" customHeight="1">
      <c r="A1551" s="1444">
        <f>COUNTIF($C$12:C1551,"x")</f>
        <v>43</v>
      </c>
      <c r="B1551" s="1451" t="s">
        <v>590</v>
      </c>
      <c r="C1551" s="966" t="str">
        <f t="shared" si="290"/>
        <v xml:space="preserve"> </v>
      </c>
      <c r="D1551" s="1414">
        <f>D1549*2</f>
        <v>0</v>
      </c>
      <c r="E1551" s="980"/>
      <c r="F1551" s="988" t="str">
        <f>VLOOKUP($B1551,DG!A:D,DG!$C$2,)</f>
        <v>Chân sứ đỉnh đỡ góc dài 870mm</v>
      </c>
      <c r="G1551" s="976" t="str">
        <f>VLOOKUP($B1551,DG!A:D,DG!$D$2,)</f>
        <v>cái</v>
      </c>
      <c r="H1551" s="1689">
        <f t="shared" si="291"/>
        <v>0</v>
      </c>
      <c r="I1551" s="1690"/>
      <c r="J1551" s="1689">
        <f t="shared" si="292"/>
        <v>0</v>
      </c>
      <c r="K1551" s="1690"/>
      <c r="L1551" s="1690"/>
      <c r="M1551" s="1690"/>
      <c r="N1551" s="1690"/>
      <c r="O1551" s="1690"/>
      <c r="P1551" s="1689">
        <f t="shared" si="287"/>
        <v>0</v>
      </c>
      <c r="Q1551" s="985"/>
      <c r="R1551" s="985"/>
      <c r="S1551" s="985"/>
      <c r="T1551" s="1858">
        <f t="shared" si="289"/>
        <v>0</v>
      </c>
    </row>
    <row r="1552" spans="1:20" ht="22.2" hidden="1" customHeight="1">
      <c r="A1552" s="1444">
        <f>COUNTIF($C$12:C1552,"x")</f>
        <v>43</v>
      </c>
      <c r="B1552" s="1451" t="s">
        <v>1610</v>
      </c>
      <c r="C1552" s="966" t="str">
        <f t="shared" si="290"/>
        <v xml:space="preserve"> </v>
      </c>
      <c r="D1552" s="1414">
        <f>D1549*2</f>
        <v>0</v>
      </c>
      <c r="E1552" s="980"/>
      <c r="F1552" s="988" t="str">
        <f>VLOOKUP($B1552,DG!A:D,DG!$C$2,)</f>
        <v>Boulon 16x300+ 2 long đền vuông D18-50x50x3/Zn</v>
      </c>
      <c r="G1552" s="976" t="str">
        <f>VLOOKUP($B1552,DG!A:D,DG!$D$2,)</f>
        <v>bộ</v>
      </c>
      <c r="H1552" s="1689">
        <f t="shared" si="291"/>
        <v>0</v>
      </c>
      <c r="I1552" s="1690"/>
      <c r="J1552" s="1689">
        <f t="shared" si="292"/>
        <v>0</v>
      </c>
      <c r="K1552" s="1690"/>
      <c r="L1552" s="1690"/>
      <c r="M1552" s="1690"/>
      <c r="N1552" s="1690"/>
      <c r="O1552" s="1690"/>
      <c r="P1552" s="1689">
        <f t="shared" si="287"/>
        <v>0</v>
      </c>
      <c r="Q1552" s="985"/>
      <c r="R1552" s="985"/>
      <c r="S1552" s="985"/>
      <c r="T1552" s="1858">
        <f t="shared" si="289"/>
        <v>0</v>
      </c>
    </row>
    <row r="1553" spans="1:20" ht="22.2" hidden="1" customHeight="1">
      <c r="A1553" s="1444">
        <f>COUNTIF($C$12:C1553,"x")</f>
        <v>43</v>
      </c>
      <c r="B1553" s="1468" t="s">
        <v>2510</v>
      </c>
      <c r="C1553" s="966" t="str">
        <f t="shared" si="290"/>
        <v xml:space="preserve"> </v>
      </c>
      <c r="D1553" s="1411"/>
      <c r="E1553" s="976"/>
      <c r="F1553" s="994" t="s">
        <v>2511</v>
      </c>
      <c r="G1553" s="995" t="s">
        <v>2512</v>
      </c>
      <c r="H1553" s="1689">
        <f t="shared" si="291"/>
        <v>0</v>
      </c>
      <c r="I1553" s="1689"/>
      <c r="J1553" s="1689">
        <f t="shared" si="292"/>
        <v>0</v>
      </c>
      <c r="K1553" s="1689"/>
      <c r="L1553" s="1689"/>
      <c r="M1553" s="1689"/>
      <c r="N1553" s="1689"/>
      <c r="O1553" s="1689"/>
      <c r="P1553" s="1689">
        <f t="shared" si="287"/>
        <v>0</v>
      </c>
      <c r="Q1553" s="985"/>
      <c r="R1553" s="985"/>
      <c r="S1553" s="985"/>
      <c r="T1553" s="1858">
        <f t="shared" si="289"/>
        <v>0</v>
      </c>
    </row>
    <row r="1554" spans="1:20" ht="22.2" hidden="1" customHeight="1">
      <c r="A1554" s="1444">
        <f>COUNTIF($C$12:C1554,"x")</f>
        <v>43</v>
      </c>
      <c r="B1554" s="1451" t="s">
        <v>1267</v>
      </c>
      <c r="C1554" s="966" t="str">
        <f t="shared" si="290"/>
        <v xml:space="preserve"> </v>
      </c>
      <c r="D1554" s="1411">
        <f>D1553*2</f>
        <v>0</v>
      </c>
      <c r="E1554" s="976"/>
      <c r="F1554" s="988" t="str">
        <f>VLOOKUP($B1554,DG!A:D,DG!$C$2,)</f>
        <v>Sứ treo loại 70kN</v>
      </c>
      <c r="G1554" s="976" t="str">
        <f>VLOOKUP($B1554,DG!A:D,DG!$D$2,)</f>
        <v>bát</v>
      </c>
      <c r="H1554" s="1689">
        <f t="shared" si="291"/>
        <v>0</v>
      </c>
      <c r="I1554" s="1689"/>
      <c r="J1554" s="1689">
        <f t="shared" si="292"/>
        <v>0</v>
      </c>
      <c r="K1554" s="1689"/>
      <c r="L1554" s="1689"/>
      <c r="M1554" s="1689"/>
      <c r="N1554" s="1689"/>
      <c r="O1554" s="1689"/>
      <c r="P1554" s="1689">
        <f t="shared" si="287"/>
        <v>0</v>
      </c>
      <c r="Q1554" s="985"/>
      <c r="R1554" s="985"/>
      <c r="S1554" s="985"/>
      <c r="T1554" s="1858">
        <f t="shared" si="289"/>
        <v>0</v>
      </c>
    </row>
    <row r="1555" spans="1:20" ht="22.2" hidden="1" customHeight="1">
      <c r="A1555" s="1444">
        <f>COUNTIF($C$12:C1555,"x")</f>
        <v>43</v>
      </c>
      <c r="B1555" s="1451" t="s">
        <v>1486</v>
      </c>
      <c r="C1555" s="966" t="str">
        <f t="shared" si="290"/>
        <v xml:space="preserve"> </v>
      </c>
      <c r="D1555" s="1411">
        <f>D1553*2</f>
        <v>0</v>
      </c>
      <c r="E1555" s="976"/>
      <c r="F1555" s="988" t="str">
        <f>VLOOKUP($B1555,DG!A:D,DG!$C$2,)</f>
        <v xml:space="preserve">Móc treo chữ U </v>
      </c>
      <c r="G1555" s="976" t="str">
        <f>VLOOKUP($B1555,DG!A:D,DG!$D$2,)</f>
        <v>cái</v>
      </c>
      <c r="H1555" s="1689">
        <f t="shared" si="291"/>
        <v>0</v>
      </c>
      <c r="I1555" s="1689"/>
      <c r="J1555" s="1689">
        <f t="shared" si="292"/>
        <v>0</v>
      </c>
      <c r="K1555" s="1689"/>
      <c r="L1555" s="1689"/>
      <c r="M1555" s="1689"/>
      <c r="N1555" s="1689"/>
      <c r="O1555" s="1689"/>
      <c r="P1555" s="1689">
        <f t="shared" si="287"/>
        <v>0</v>
      </c>
      <c r="Q1555" s="985"/>
      <c r="R1555" s="985"/>
      <c r="S1555" s="985"/>
      <c r="T1555" s="1858">
        <f t="shared" si="289"/>
        <v>0</v>
      </c>
    </row>
    <row r="1556" spans="1:20" ht="22.2" hidden="1" customHeight="1">
      <c r="A1556" s="1444">
        <f>COUNTIF($C$12:C1556,"x")</f>
        <v>43</v>
      </c>
      <c r="B1556" s="1451" t="s">
        <v>1569</v>
      </c>
      <c r="C1556" s="966" t="str">
        <f t="shared" si="290"/>
        <v xml:space="preserve"> </v>
      </c>
      <c r="D1556" s="1411">
        <f>D1553</f>
        <v>0</v>
      </c>
      <c r="E1556" s="976"/>
      <c r="F1556" s="988" t="str">
        <f>VLOOKUP($B1556,DG!A:D,DG!$C$2,)</f>
        <v>Vòng treo đầu tròn</v>
      </c>
      <c r="G1556" s="976" t="str">
        <f>VLOOKUP($B1556,DG!A:D,DG!$D$2,)</f>
        <v>cái</v>
      </c>
      <c r="H1556" s="1689">
        <f t="shared" si="291"/>
        <v>0</v>
      </c>
      <c r="I1556" s="1689"/>
      <c r="J1556" s="1689">
        <f t="shared" si="292"/>
        <v>0</v>
      </c>
      <c r="K1556" s="1689"/>
      <c r="L1556" s="1689"/>
      <c r="M1556" s="1689"/>
      <c r="N1556" s="1689"/>
      <c r="O1556" s="1689"/>
      <c r="P1556" s="1689">
        <f t="shared" si="287"/>
        <v>0</v>
      </c>
      <c r="Q1556" s="985"/>
      <c r="R1556" s="985"/>
      <c r="S1556" s="985"/>
      <c r="T1556" s="1858">
        <f t="shared" si="289"/>
        <v>0</v>
      </c>
    </row>
    <row r="1557" spans="1:20" ht="22.2" hidden="1" customHeight="1">
      <c r="A1557" s="1444">
        <f>COUNTIF($C$12:C1557,"x")</f>
        <v>43</v>
      </c>
      <c r="B1557" s="1451" t="s">
        <v>1484</v>
      </c>
      <c r="C1557" s="966" t="str">
        <f t="shared" si="290"/>
        <v xml:space="preserve"> </v>
      </c>
      <c r="D1557" s="1411">
        <f>D1553</f>
        <v>0</v>
      </c>
      <c r="E1557" s="976"/>
      <c r="F1557" s="988" t="str">
        <f>VLOOKUP($B1557,DG!A:D,DG!$C$2,)</f>
        <v>Mắt nối đơn</v>
      </c>
      <c r="G1557" s="976" t="str">
        <f>VLOOKUP($B1557,DG!A:D,DG!$D$2,)</f>
        <v>cái</v>
      </c>
      <c r="H1557" s="1689">
        <f t="shared" si="291"/>
        <v>0</v>
      </c>
      <c r="I1557" s="1689"/>
      <c r="J1557" s="1689">
        <f t="shared" si="292"/>
        <v>0</v>
      </c>
      <c r="K1557" s="1689"/>
      <c r="L1557" s="1689"/>
      <c r="M1557" s="1689"/>
      <c r="N1557" s="1689"/>
      <c r="O1557" s="1689"/>
      <c r="P1557" s="1689">
        <f t="shared" si="287"/>
        <v>0</v>
      </c>
      <c r="Q1557" s="985"/>
      <c r="R1557" s="985"/>
      <c r="S1557" s="985"/>
      <c r="T1557" s="1858">
        <f t="shared" si="289"/>
        <v>0</v>
      </c>
    </row>
    <row r="1558" spans="1:20" ht="22.2" hidden="1" customHeight="1">
      <c r="A1558" s="1444">
        <f>COUNTIF($C$12:C1558,"x")</f>
        <v>43</v>
      </c>
      <c r="B1558" s="1451" t="s">
        <v>1268</v>
      </c>
      <c r="C1558" s="966" t="str">
        <f t="shared" si="290"/>
        <v xml:space="preserve"> </v>
      </c>
      <c r="D1558" s="1411">
        <f>D1553</f>
        <v>0</v>
      </c>
      <c r="E1558" s="976"/>
      <c r="F1558" s="988" t="str">
        <f>VLOOKUP($B1558,DG!A:D,DG!$C$2,)</f>
        <v>Boulon mắt 16x300+ 2 long đền vuông D18-50x50x3/Zn</v>
      </c>
      <c r="G1558" s="976" t="str">
        <f>VLOOKUP($B1558,DG!A:D,DG!$D$2,)</f>
        <v>bộ</v>
      </c>
      <c r="H1558" s="1689">
        <f t="shared" si="291"/>
        <v>0</v>
      </c>
      <c r="I1558" s="1689"/>
      <c r="J1558" s="1689">
        <f t="shared" si="292"/>
        <v>0</v>
      </c>
      <c r="K1558" s="1689"/>
      <c r="L1558" s="1689"/>
      <c r="M1558" s="1689"/>
      <c r="N1558" s="1689"/>
      <c r="O1558" s="1689"/>
      <c r="P1558" s="1689">
        <f t="shared" si="287"/>
        <v>0</v>
      </c>
      <c r="Q1558" s="985"/>
      <c r="R1558" s="985"/>
      <c r="S1558" s="985"/>
      <c r="T1558" s="1858">
        <f t="shared" si="289"/>
        <v>0</v>
      </c>
    </row>
    <row r="1559" spans="1:20" ht="22.2" hidden="1" customHeight="1">
      <c r="A1559" s="1444">
        <f>COUNTIF($C$12:C1559,"x")</f>
        <v>43</v>
      </c>
      <c r="B1559" s="1468" t="s">
        <v>2513</v>
      </c>
      <c r="C1559" s="966" t="str">
        <f t="shared" si="290"/>
        <v xml:space="preserve"> </v>
      </c>
      <c r="D1559" s="1411"/>
      <c r="E1559" s="976"/>
      <c r="F1559" s="1283" t="s">
        <v>2514</v>
      </c>
      <c r="G1559" s="995" t="s">
        <v>2512</v>
      </c>
      <c r="H1559" s="1689">
        <f t="shared" si="291"/>
        <v>0</v>
      </c>
      <c r="I1559" s="1689"/>
      <c r="J1559" s="1689">
        <f t="shared" si="292"/>
        <v>0</v>
      </c>
      <c r="K1559" s="1689"/>
      <c r="L1559" s="1689"/>
      <c r="M1559" s="1689"/>
      <c r="N1559" s="1689"/>
      <c r="O1559" s="1689"/>
      <c r="P1559" s="1689">
        <f t="shared" si="287"/>
        <v>0</v>
      </c>
      <c r="Q1559" s="985"/>
      <c r="R1559" s="985"/>
      <c r="S1559" s="985"/>
      <c r="T1559" s="1858">
        <f t="shared" si="289"/>
        <v>0</v>
      </c>
    </row>
    <row r="1560" spans="1:20" ht="22.2" hidden="1" customHeight="1">
      <c r="A1560" s="1444">
        <f>COUNTIF($C$12:C1560,"x")</f>
        <v>43</v>
      </c>
      <c r="B1560" s="1451" t="s">
        <v>112</v>
      </c>
      <c r="C1560" s="966" t="str">
        <f t="shared" si="290"/>
        <v xml:space="preserve"> </v>
      </c>
      <c r="D1560" s="1411">
        <f>D1559*0</f>
        <v>0</v>
      </c>
      <c r="E1560" s="976"/>
      <c r="F1560" s="988" t="str">
        <f>VLOOKUP($B1560,DG!A:D,DG!$C$2,)</f>
        <v>Sứ treo loại 70kN</v>
      </c>
      <c r="G1560" s="976" t="str">
        <f>VLOOKUP($B1560,DG!A:D,DG!$D$2,)</f>
        <v>bát</v>
      </c>
      <c r="H1560" s="1689">
        <f t="shared" si="291"/>
        <v>0</v>
      </c>
      <c r="I1560" s="1689"/>
      <c r="J1560" s="1689">
        <f t="shared" si="292"/>
        <v>0</v>
      </c>
      <c r="K1560" s="1689"/>
      <c r="L1560" s="1689"/>
      <c r="M1560" s="1689"/>
      <c r="N1560" s="1689"/>
      <c r="O1560" s="1689"/>
      <c r="P1560" s="1689">
        <f t="shared" si="287"/>
        <v>0</v>
      </c>
      <c r="Q1560" s="985"/>
      <c r="R1560" s="985"/>
      <c r="S1560" s="985"/>
      <c r="T1560" s="1858">
        <f t="shared" si="289"/>
        <v>0</v>
      </c>
    </row>
    <row r="1561" spans="1:20" ht="22.2" hidden="1" customHeight="1">
      <c r="A1561" s="1444">
        <f>COUNTIF($C$12:C1561,"x")</f>
        <v>43</v>
      </c>
      <c r="B1561" s="1451" t="s">
        <v>1486</v>
      </c>
      <c r="C1561" s="966" t="str">
        <f t="shared" si="290"/>
        <v xml:space="preserve"> </v>
      </c>
      <c r="D1561" s="1411">
        <f>D1559*2</f>
        <v>0</v>
      </c>
      <c r="E1561" s="976"/>
      <c r="F1561" s="988" t="str">
        <f>VLOOKUP($B1561,DG!A:D,DG!$C$2,)</f>
        <v xml:space="preserve">Móc treo chữ U </v>
      </c>
      <c r="G1561" s="976" t="str">
        <f>VLOOKUP($B1561,DG!A:D,DG!$D$2,)</f>
        <v>cái</v>
      </c>
      <c r="H1561" s="1689">
        <f t="shared" si="291"/>
        <v>0</v>
      </c>
      <c r="I1561" s="1689"/>
      <c r="J1561" s="1689">
        <f t="shared" si="292"/>
        <v>0</v>
      </c>
      <c r="K1561" s="1689"/>
      <c r="L1561" s="1689"/>
      <c r="M1561" s="1689"/>
      <c r="N1561" s="1689"/>
      <c r="O1561" s="1689"/>
      <c r="P1561" s="1689">
        <f t="shared" si="287"/>
        <v>0</v>
      </c>
      <c r="Q1561" s="985"/>
      <c r="R1561" s="985"/>
      <c r="S1561" s="985"/>
      <c r="T1561" s="1858">
        <f t="shared" si="289"/>
        <v>0</v>
      </c>
    </row>
    <row r="1562" spans="1:20" ht="22.2" hidden="1" customHeight="1">
      <c r="A1562" s="1444">
        <f>COUNTIF($C$12:C1562,"x")</f>
        <v>43</v>
      </c>
      <c r="B1562" s="1451" t="s">
        <v>1569</v>
      </c>
      <c r="C1562" s="966" t="str">
        <f t="shared" si="290"/>
        <v xml:space="preserve"> </v>
      </c>
      <c r="D1562" s="1411">
        <f>D1559</f>
        <v>0</v>
      </c>
      <c r="E1562" s="976"/>
      <c r="F1562" s="988" t="str">
        <f>VLOOKUP($B1562,DG!A:D,DG!$C$2,)</f>
        <v>Vòng treo đầu tròn</v>
      </c>
      <c r="G1562" s="976" t="str">
        <f>VLOOKUP($B1562,DG!A:D,DG!$D$2,)</f>
        <v>cái</v>
      </c>
      <c r="H1562" s="1689">
        <f t="shared" si="291"/>
        <v>0</v>
      </c>
      <c r="I1562" s="1689"/>
      <c r="J1562" s="1689">
        <f t="shared" si="292"/>
        <v>0</v>
      </c>
      <c r="K1562" s="1689"/>
      <c r="L1562" s="1689"/>
      <c r="M1562" s="1689"/>
      <c r="N1562" s="1689"/>
      <c r="O1562" s="1689"/>
      <c r="P1562" s="1689">
        <f t="shared" si="287"/>
        <v>0</v>
      </c>
      <c r="Q1562" s="985"/>
      <c r="R1562" s="985"/>
      <c r="S1562" s="985"/>
      <c r="T1562" s="1858">
        <f t="shared" si="289"/>
        <v>0</v>
      </c>
    </row>
    <row r="1563" spans="1:20" ht="22.2" hidden="1" customHeight="1">
      <c r="A1563" s="1444">
        <f>COUNTIF($C$12:C1563,"x")</f>
        <v>43</v>
      </c>
      <c r="B1563" s="1451" t="s">
        <v>1484</v>
      </c>
      <c r="C1563" s="966" t="str">
        <f t="shared" si="290"/>
        <v xml:space="preserve"> </v>
      </c>
      <c r="D1563" s="1411">
        <f>D1559</f>
        <v>0</v>
      </c>
      <c r="E1563" s="976"/>
      <c r="F1563" s="988" t="str">
        <f>VLOOKUP($B1563,DG!A:D,DG!$C$2,)</f>
        <v>Mắt nối đơn</v>
      </c>
      <c r="G1563" s="976" t="str">
        <f>VLOOKUP($B1563,DG!A:D,DG!$D$2,)</f>
        <v>cái</v>
      </c>
      <c r="H1563" s="1689">
        <f t="shared" si="291"/>
        <v>0</v>
      </c>
      <c r="I1563" s="1689"/>
      <c r="J1563" s="1689">
        <f t="shared" si="292"/>
        <v>0</v>
      </c>
      <c r="K1563" s="1689"/>
      <c r="L1563" s="1689"/>
      <c r="M1563" s="1689"/>
      <c r="N1563" s="1689"/>
      <c r="O1563" s="1689"/>
      <c r="P1563" s="1689">
        <f t="shared" si="287"/>
        <v>0</v>
      </c>
      <c r="Q1563" s="985"/>
      <c r="R1563" s="985"/>
      <c r="S1563" s="985"/>
      <c r="T1563" s="1858">
        <f t="shared" si="289"/>
        <v>0</v>
      </c>
    </row>
    <row r="1564" spans="1:20" ht="22.2" hidden="1" customHeight="1">
      <c r="A1564" s="1444">
        <f>COUNTIF($C$12:C1564,"x")</f>
        <v>43</v>
      </c>
      <c r="B1564" s="1454" t="s">
        <v>2515</v>
      </c>
      <c r="C1564" s="966" t="str">
        <f t="shared" si="290"/>
        <v xml:space="preserve"> </v>
      </c>
      <c r="D1564" s="1411">
        <f>pp_NC!DJ95</f>
        <v>0</v>
      </c>
      <c r="E1564" s="976"/>
      <c r="F1564" s="994" t="s">
        <v>2516</v>
      </c>
      <c r="G1564" s="995" t="s">
        <v>2512</v>
      </c>
      <c r="H1564" s="1689">
        <f t="shared" si="291"/>
        <v>0</v>
      </c>
      <c r="I1564" s="1689"/>
      <c r="J1564" s="1689">
        <f t="shared" si="292"/>
        <v>0</v>
      </c>
      <c r="K1564" s="1689"/>
      <c r="L1564" s="1689"/>
      <c r="M1564" s="1689"/>
      <c r="N1564" s="1689"/>
      <c r="O1564" s="1689"/>
      <c r="P1564" s="1689">
        <f t="shared" si="287"/>
        <v>0</v>
      </c>
      <c r="Q1564" s="985"/>
      <c r="R1564" s="985"/>
      <c r="S1564" s="985"/>
      <c r="T1564" s="1858">
        <f t="shared" si="289"/>
        <v>0</v>
      </c>
    </row>
    <row r="1565" spans="1:20" ht="22.2" hidden="1" customHeight="1">
      <c r="A1565" s="1444">
        <f>COUNTIF($C$12:C1565,"x")</f>
        <v>43</v>
      </c>
      <c r="B1565" s="1447" t="s">
        <v>1506</v>
      </c>
      <c r="C1565" s="966" t="str">
        <f t="shared" si="290"/>
        <v xml:space="preserve"> </v>
      </c>
      <c r="D1565" s="1411">
        <f>D1564</f>
        <v>0</v>
      </c>
      <c r="E1565" s="976"/>
      <c r="F1565" s="988" t="str">
        <f>VLOOKUP($B1565,DG!A:D,DG!$C$2,)</f>
        <v>Sứ treo polymer</v>
      </c>
      <c r="G1565" s="976" t="str">
        <f>VLOOKUP($B1565,DG!A:D,DG!$D$2,)</f>
        <v>chuỗi</v>
      </c>
      <c r="H1565" s="1689">
        <f t="shared" si="291"/>
        <v>0</v>
      </c>
      <c r="I1565" s="1689"/>
      <c r="J1565" s="1689">
        <f t="shared" si="292"/>
        <v>0</v>
      </c>
      <c r="K1565" s="1689"/>
      <c r="L1565" s="1689"/>
      <c r="M1565" s="1689"/>
      <c r="N1565" s="1689"/>
      <c r="O1565" s="1689"/>
      <c r="P1565" s="1689">
        <f t="shared" si="287"/>
        <v>0</v>
      </c>
      <c r="Q1565" s="985"/>
      <c r="R1565" s="985"/>
      <c r="S1565" s="985"/>
      <c r="T1565" s="1858">
        <f t="shared" si="289"/>
        <v>0</v>
      </c>
    </row>
    <row r="1566" spans="1:20" ht="22.2" hidden="1" customHeight="1">
      <c r="A1566" s="1444">
        <f>COUNTIF($C$12:C1566,"x")</f>
        <v>43</v>
      </c>
      <c r="B1566" s="1447" t="s">
        <v>1486</v>
      </c>
      <c r="C1566" s="966" t="str">
        <f t="shared" si="290"/>
        <v xml:space="preserve"> </v>
      </c>
      <c r="D1566" s="1411">
        <f>D1564*2</f>
        <v>0</v>
      </c>
      <c r="E1566" s="976"/>
      <c r="F1566" s="988" t="str">
        <f>VLOOKUP($B1566,DG!A:D,DG!$C$2,)</f>
        <v xml:space="preserve">Móc treo chữ U </v>
      </c>
      <c r="G1566" s="976" t="str">
        <f>VLOOKUP($B1566,DG!A:D,DG!$D$2,)</f>
        <v>cái</v>
      </c>
      <c r="H1566" s="1689">
        <f t="shared" si="291"/>
        <v>0</v>
      </c>
      <c r="I1566" s="1689"/>
      <c r="J1566" s="1689">
        <f t="shared" si="292"/>
        <v>0</v>
      </c>
      <c r="K1566" s="1689"/>
      <c r="L1566" s="1689"/>
      <c r="M1566" s="1689"/>
      <c r="N1566" s="1689"/>
      <c r="O1566" s="1689"/>
      <c r="P1566" s="1689">
        <f t="shared" si="287"/>
        <v>0</v>
      </c>
      <c r="Q1566" s="985"/>
      <c r="R1566" s="985"/>
      <c r="S1566" s="985"/>
      <c r="T1566" s="1858">
        <f t="shared" si="289"/>
        <v>0</v>
      </c>
    </row>
    <row r="1567" spans="1:20" ht="22.2" hidden="1" customHeight="1">
      <c r="A1567" s="1444">
        <f>COUNTIF($C$12:C1567,"x")</f>
        <v>43</v>
      </c>
      <c r="B1567" s="1447" t="s">
        <v>904</v>
      </c>
      <c r="C1567" s="966" t="str">
        <f t="shared" si="290"/>
        <v xml:space="preserve"> </v>
      </c>
      <c r="D1567" s="1411">
        <f>D1564</f>
        <v>0</v>
      </c>
      <c r="E1567" s="976"/>
      <c r="F1567" s="988" t="str">
        <f>VLOOKUP($B1567,DG!A:D,DG!$C$2,)</f>
        <v>Khóa néo dây cỡ dây 50</v>
      </c>
      <c r="G1567" s="976" t="str">
        <f>VLOOKUP($B1567,DG!A:D,DG!$D$2,)</f>
        <v>cái</v>
      </c>
      <c r="H1567" s="1689">
        <f t="shared" si="291"/>
        <v>0</v>
      </c>
      <c r="I1567" s="1689"/>
      <c r="J1567" s="1689">
        <f t="shared" si="292"/>
        <v>0</v>
      </c>
      <c r="K1567" s="1689"/>
      <c r="L1567" s="1689"/>
      <c r="M1567" s="1689"/>
      <c r="N1567" s="1689"/>
      <c r="O1567" s="1689"/>
      <c r="P1567" s="1689">
        <f t="shared" si="287"/>
        <v>0</v>
      </c>
      <c r="Q1567" s="985"/>
      <c r="R1567" s="985"/>
      <c r="S1567" s="985"/>
      <c r="T1567" s="1858">
        <f t="shared" si="289"/>
        <v>0</v>
      </c>
    </row>
    <row r="1568" spans="1:20" ht="22.2" hidden="1" customHeight="1">
      <c r="A1568" s="1444">
        <f>COUNTIF($C$12:C1568,"x")</f>
        <v>43</v>
      </c>
      <c r="B1568" s="1451" t="s">
        <v>1569</v>
      </c>
      <c r="C1568" s="966" t="str">
        <f t="shared" si="290"/>
        <v xml:space="preserve"> </v>
      </c>
      <c r="D1568" s="1411"/>
      <c r="E1568" s="976"/>
      <c r="F1568" s="988" t="str">
        <f>VLOOKUP($B1568,DG!A:D,DG!$C$2,)</f>
        <v>Vòng treo đầu tròn</v>
      </c>
      <c r="G1568" s="976" t="str">
        <f>VLOOKUP($B1568,DG!A:D,DG!$D$2,)</f>
        <v>cái</v>
      </c>
      <c r="H1568" s="1689">
        <f t="shared" si="291"/>
        <v>0</v>
      </c>
      <c r="I1568" s="1689"/>
      <c r="J1568" s="1689">
        <f t="shared" si="292"/>
        <v>0</v>
      </c>
      <c r="K1568" s="1689"/>
      <c r="L1568" s="1689"/>
      <c r="M1568" s="1689"/>
      <c r="N1568" s="1689"/>
      <c r="O1568" s="1689"/>
      <c r="P1568" s="1689">
        <f t="shared" si="287"/>
        <v>0</v>
      </c>
      <c r="Q1568" s="985"/>
      <c r="R1568" s="985"/>
      <c r="S1568" s="985"/>
      <c r="T1568" s="1858">
        <f t="shared" si="289"/>
        <v>0</v>
      </c>
    </row>
    <row r="1569" spans="1:20" ht="22.2" hidden="1" customHeight="1">
      <c r="A1569" s="1444">
        <f>COUNTIF($C$12:C1569,"x")</f>
        <v>43</v>
      </c>
      <c r="B1569" s="1451" t="s">
        <v>1484</v>
      </c>
      <c r="C1569" s="966" t="str">
        <f t="shared" si="290"/>
        <v xml:space="preserve"> </v>
      </c>
      <c r="D1569" s="1411"/>
      <c r="E1569" s="976"/>
      <c r="F1569" s="988" t="str">
        <f>VLOOKUP($B1569,DG!A:D,DG!$C$2,)</f>
        <v>Mắt nối đơn</v>
      </c>
      <c r="G1569" s="976" t="str">
        <f>VLOOKUP($B1569,DG!A:D,DG!$D$2,)</f>
        <v>cái</v>
      </c>
      <c r="H1569" s="1689">
        <f t="shared" si="291"/>
        <v>0</v>
      </c>
      <c r="I1569" s="1689"/>
      <c r="J1569" s="1689">
        <f t="shared" si="292"/>
        <v>0</v>
      </c>
      <c r="K1569" s="1689"/>
      <c r="L1569" s="1689"/>
      <c r="M1569" s="1689"/>
      <c r="N1569" s="1689"/>
      <c r="O1569" s="1689"/>
      <c r="P1569" s="1689">
        <f t="shared" si="287"/>
        <v>0</v>
      </c>
      <c r="Q1569" s="985"/>
      <c r="R1569" s="985"/>
      <c r="S1569" s="985"/>
      <c r="T1569" s="1858">
        <f t="shared" si="289"/>
        <v>0</v>
      </c>
    </row>
    <row r="1570" spans="1:20" ht="22.2" hidden="1" customHeight="1">
      <c r="A1570" s="1444">
        <f>COUNTIF($C$12:C1570,"x")</f>
        <v>43</v>
      </c>
      <c r="B1570" s="1456"/>
      <c r="C1570" s="966" t="str">
        <f t="shared" si="290"/>
        <v xml:space="preserve"> </v>
      </c>
      <c r="D1570" s="1411"/>
      <c r="E1570" s="976"/>
      <c r="F1570" s="1273" t="s">
        <v>2517</v>
      </c>
      <c r="G1570" s="976"/>
      <c r="H1570" s="1689">
        <f t="shared" si="291"/>
        <v>0</v>
      </c>
      <c r="I1570" s="1689"/>
      <c r="J1570" s="1689">
        <f t="shared" si="292"/>
        <v>0</v>
      </c>
      <c r="K1570" s="1689"/>
      <c r="L1570" s="1689"/>
      <c r="M1570" s="1689"/>
      <c r="N1570" s="1689"/>
      <c r="O1570" s="1689"/>
      <c r="P1570" s="1689">
        <f t="shared" si="287"/>
        <v>0</v>
      </c>
      <c r="Q1570" s="985"/>
      <c r="R1570" s="985"/>
      <c r="S1570" s="985"/>
      <c r="T1570" s="1858">
        <f t="shared" si="289"/>
        <v>0</v>
      </c>
    </row>
    <row r="1571" spans="1:20" ht="22.2" hidden="1" customHeight="1">
      <c r="A1571" s="1444">
        <f>COUNTIF($C$12:C1571,"x")</f>
        <v>43</v>
      </c>
      <c r="B1571" s="1456" t="s">
        <v>1144</v>
      </c>
      <c r="C1571" s="966" t="str">
        <f t="shared" si="290"/>
        <v xml:space="preserve"> </v>
      </c>
      <c r="D1571" s="1424"/>
      <c r="E1571" s="976"/>
      <c r="F1571" s="988" t="str">
        <f>VLOOKUP($B1571,DG!A:D,DG!$C$2,)</f>
        <v>Khóa đỡ dây cỡ dây 240</v>
      </c>
      <c r="G1571" s="976" t="str">
        <f>VLOOKUP($B1571,DG!A:D,DG!$D$2,)</f>
        <v>cái</v>
      </c>
      <c r="H1571" s="1689">
        <f t="shared" si="291"/>
        <v>0</v>
      </c>
      <c r="I1571" s="1689"/>
      <c r="J1571" s="1689">
        <f t="shared" si="292"/>
        <v>0</v>
      </c>
      <c r="K1571" s="1689"/>
      <c r="L1571" s="1689"/>
      <c r="M1571" s="1689"/>
      <c r="N1571" s="1689"/>
      <c r="O1571" s="1689"/>
      <c r="P1571" s="1689">
        <f t="shared" si="287"/>
        <v>0</v>
      </c>
      <c r="Q1571" s="985"/>
      <c r="R1571" s="985"/>
      <c r="S1571" s="985"/>
      <c r="T1571" s="1858">
        <f t="shared" si="289"/>
        <v>0</v>
      </c>
    </row>
    <row r="1572" spans="1:20" ht="22.2" hidden="1" customHeight="1">
      <c r="A1572" s="1444">
        <f>COUNTIF($C$12:C1572,"x")</f>
        <v>43</v>
      </c>
      <c r="B1572" s="1456" t="s">
        <v>1143</v>
      </c>
      <c r="C1572" s="966" t="str">
        <f t="shared" si="290"/>
        <v xml:space="preserve"> </v>
      </c>
      <c r="D1572" s="1424"/>
      <c r="E1572" s="976"/>
      <c r="F1572" s="988" t="str">
        <f>VLOOKUP($B1572,DG!A:D,DG!$C$2,)</f>
        <v>Khóa đỡ dây cỡ dây 185</v>
      </c>
      <c r="G1572" s="976" t="str">
        <f>VLOOKUP($B1572,DG!A:D,DG!$D$2,)</f>
        <v>cái</v>
      </c>
      <c r="H1572" s="1689">
        <f t="shared" si="291"/>
        <v>0</v>
      </c>
      <c r="I1572" s="1689"/>
      <c r="J1572" s="1689">
        <f t="shared" si="292"/>
        <v>0</v>
      </c>
      <c r="K1572" s="1689"/>
      <c r="L1572" s="1689"/>
      <c r="M1572" s="1689"/>
      <c r="N1572" s="1689"/>
      <c r="O1572" s="1689"/>
      <c r="P1572" s="1689">
        <f t="shared" si="287"/>
        <v>0</v>
      </c>
      <c r="Q1572" s="985"/>
      <c r="R1572" s="985"/>
      <c r="S1572" s="985"/>
      <c r="T1572" s="1858">
        <f t="shared" si="289"/>
        <v>0</v>
      </c>
    </row>
    <row r="1573" spans="1:20" ht="22.2" hidden="1" customHeight="1">
      <c r="A1573" s="1444">
        <f>COUNTIF($C$12:C1573,"x")</f>
        <v>43</v>
      </c>
      <c r="B1573" s="1456" t="s">
        <v>1142</v>
      </c>
      <c r="C1573" s="966" t="str">
        <f t="shared" si="290"/>
        <v xml:space="preserve"> </v>
      </c>
      <c r="D1573" s="1424"/>
      <c r="E1573" s="976"/>
      <c r="F1573" s="988" t="str">
        <f>VLOOKUP($B1573,DG!A:D,DG!$C$2,)</f>
        <v>Khóa đỡ dây cỡ dây 150</v>
      </c>
      <c r="G1573" s="976" t="str">
        <f>VLOOKUP($B1573,DG!A:D,DG!$D$2,)</f>
        <v>cái</v>
      </c>
      <c r="H1573" s="1689">
        <f t="shared" si="291"/>
        <v>0</v>
      </c>
      <c r="I1573" s="1689"/>
      <c r="J1573" s="1689">
        <f t="shared" si="292"/>
        <v>0</v>
      </c>
      <c r="K1573" s="1689"/>
      <c r="L1573" s="1689"/>
      <c r="M1573" s="1689"/>
      <c r="N1573" s="1689"/>
      <c r="O1573" s="1689"/>
      <c r="P1573" s="1689">
        <f t="shared" si="287"/>
        <v>0</v>
      </c>
      <c r="Q1573" s="985"/>
      <c r="R1573" s="985"/>
      <c r="S1573" s="985"/>
      <c r="T1573" s="1858">
        <f t="shared" si="289"/>
        <v>0</v>
      </c>
    </row>
    <row r="1574" spans="1:20" ht="22.2" hidden="1" customHeight="1">
      <c r="A1574" s="1444">
        <f>COUNTIF($C$12:C1574,"x")</f>
        <v>43</v>
      </c>
      <c r="B1574" s="1456" t="s">
        <v>1141</v>
      </c>
      <c r="C1574" s="966" t="str">
        <f t="shared" si="290"/>
        <v xml:space="preserve"> </v>
      </c>
      <c r="D1574" s="1424"/>
      <c r="E1574" s="976"/>
      <c r="F1574" s="988" t="str">
        <f>VLOOKUP($B1574,DG!A:D,DG!$C$2,)</f>
        <v>Khóa đỡ dây cỡ dây 120</v>
      </c>
      <c r="G1574" s="976" t="str">
        <f>VLOOKUP($B1574,DG!A:D,DG!$D$2,)</f>
        <v>cái</v>
      </c>
      <c r="H1574" s="1689">
        <f t="shared" si="291"/>
        <v>0</v>
      </c>
      <c r="I1574" s="1689"/>
      <c r="J1574" s="1689">
        <f t="shared" si="292"/>
        <v>0</v>
      </c>
      <c r="K1574" s="1689"/>
      <c r="L1574" s="1689"/>
      <c r="M1574" s="1689"/>
      <c r="N1574" s="1689"/>
      <c r="O1574" s="1689"/>
      <c r="P1574" s="1689">
        <f t="shared" si="287"/>
        <v>0</v>
      </c>
      <c r="Q1574" s="985"/>
      <c r="R1574" s="985"/>
      <c r="S1574" s="985"/>
      <c r="T1574" s="1858">
        <f t="shared" si="289"/>
        <v>0</v>
      </c>
    </row>
    <row r="1575" spans="1:20" ht="22.2" hidden="1" customHeight="1">
      <c r="A1575" s="1444">
        <f>COUNTIF($C$12:C1575,"x")</f>
        <v>43</v>
      </c>
      <c r="B1575" s="1456" t="s">
        <v>101</v>
      </c>
      <c r="C1575" s="966" t="str">
        <f t="shared" si="290"/>
        <v xml:space="preserve"> </v>
      </c>
      <c r="D1575" s="1424"/>
      <c r="E1575" s="976"/>
      <c r="F1575" s="988" t="str">
        <f>VLOOKUP($B1575,DG!A:D,DG!$C$2,)</f>
        <v>Khóa đỡ dây cỡ dây 95</v>
      </c>
      <c r="G1575" s="976" t="str">
        <f>VLOOKUP($B1575,DG!A:D,DG!$D$2,)</f>
        <v>cái</v>
      </c>
      <c r="H1575" s="1689">
        <f t="shared" si="291"/>
        <v>0</v>
      </c>
      <c r="I1575" s="1689"/>
      <c r="J1575" s="1689">
        <f t="shared" si="292"/>
        <v>0</v>
      </c>
      <c r="K1575" s="1689"/>
      <c r="L1575" s="1689"/>
      <c r="M1575" s="1689"/>
      <c r="N1575" s="1689"/>
      <c r="O1575" s="1689"/>
      <c r="P1575" s="1689">
        <f t="shared" si="287"/>
        <v>0</v>
      </c>
      <c r="Q1575" s="985"/>
      <c r="R1575" s="985"/>
      <c r="S1575" s="985"/>
      <c r="T1575" s="1858">
        <f t="shared" si="289"/>
        <v>0</v>
      </c>
    </row>
    <row r="1576" spans="1:20" ht="22.2" hidden="1" customHeight="1">
      <c r="A1576" s="1444">
        <f>COUNTIF($C$12:C1576,"x")</f>
        <v>43</v>
      </c>
      <c r="B1576" s="1456" t="s">
        <v>1481</v>
      </c>
      <c r="C1576" s="966" t="str">
        <f t="shared" si="290"/>
        <v xml:space="preserve"> </v>
      </c>
      <c r="D1576" s="1424"/>
      <c r="E1576" s="976"/>
      <c r="F1576" s="988" t="str">
        <f>VLOOKUP($B1576,DG!A:D,DG!$C$2,)</f>
        <v>Khóa đỡ dây cỡ dây 70</v>
      </c>
      <c r="G1576" s="976" t="str">
        <f>VLOOKUP($B1576,DG!A:D,DG!$D$2,)</f>
        <v>cái</v>
      </c>
      <c r="H1576" s="1689">
        <f t="shared" ref="H1576:H1607" si="293">$D1576</f>
        <v>0</v>
      </c>
      <c r="I1576" s="1689"/>
      <c r="J1576" s="1689">
        <f t="shared" ref="J1576:J1607" si="294">D1576</f>
        <v>0</v>
      </c>
      <c r="K1576" s="1689"/>
      <c r="L1576" s="1689"/>
      <c r="M1576" s="1689"/>
      <c r="N1576" s="1689"/>
      <c r="O1576" s="1689"/>
      <c r="P1576" s="1689">
        <f t="shared" si="287"/>
        <v>0</v>
      </c>
      <c r="Q1576" s="985"/>
      <c r="R1576" s="985"/>
      <c r="S1576" s="985"/>
      <c r="T1576" s="1858">
        <f t="shared" si="289"/>
        <v>0</v>
      </c>
    </row>
    <row r="1577" spans="1:20" ht="22.2" hidden="1" customHeight="1">
      <c r="A1577" s="1444">
        <f>COUNTIF($C$12:C1577,"x")</f>
        <v>43</v>
      </c>
      <c r="B1577" s="1456" t="s">
        <v>1175</v>
      </c>
      <c r="C1577" s="966" t="str">
        <f t="shared" si="290"/>
        <v xml:space="preserve"> </v>
      </c>
      <c r="D1577" s="1424"/>
      <c r="E1577" s="976"/>
      <c r="F1577" s="988" t="str">
        <f>VLOOKUP($B1577,DG!A:D,DG!$C$2,)</f>
        <v>Khóa đỡ dây cỡ dây 50</v>
      </c>
      <c r="G1577" s="976" t="str">
        <f>VLOOKUP($B1577,DG!A:D,DG!$D$2,)</f>
        <v>cái</v>
      </c>
      <c r="H1577" s="1689">
        <f t="shared" si="293"/>
        <v>0</v>
      </c>
      <c r="I1577" s="1689"/>
      <c r="J1577" s="1689">
        <f t="shared" si="294"/>
        <v>0</v>
      </c>
      <c r="K1577" s="1689"/>
      <c r="L1577" s="1689"/>
      <c r="M1577" s="1689"/>
      <c r="N1577" s="1689"/>
      <c r="O1577" s="1689"/>
      <c r="P1577" s="1689">
        <f t="shared" ref="P1577:P1640" si="295">H1577+Q1577-R1577</f>
        <v>0</v>
      </c>
      <c r="Q1577" s="985"/>
      <c r="R1577" s="985"/>
      <c r="S1577" s="985"/>
      <c r="T1577" s="1858">
        <f t="shared" si="289"/>
        <v>0</v>
      </c>
    </row>
    <row r="1578" spans="1:20" ht="22.2" hidden="1" customHeight="1">
      <c r="A1578" s="1444">
        <f>COUNTIF($C$12:C1578,"x")</f>
        <v>43</v>
      </c>
      <c r="B1578" s="1456" t="s">
        <v>1741</v>
      </c>
      <c r="C1578" s="966" t="str">
        <f t="shared" si="290"/>
        <v xml:space="preserve"> </v>
      </c>
      <c r="D1578" s="1408"/>
      <c r="E1578" s="976"/>
      <c r="F1578" s="988" t="str">
        <f>VLOOKUP($B1578,DG!A:D,DG!$C$2,)</f>
        <v>Khóa néo dây cỡ dây 240</v>
      </c>
      <c r="G1578" s="976" t="str">
        <f>VLOOKUP($B1578,DG!A:D,DG!$D$2,)</f>
        <v>cái</v>
      </c>
      <c r="H1578" s="1689">
        <f t="shared" si="293"/>
        <v>0</v>
      </c>
      <c r="I1578" s="1689"/>
      <c r="J1578" s="1689">
        <f t="shared" si="294"/>
        <v>0</v>
      </c>
      <c r="K1578" s="1689"/>
      <c r="L1578" s="1689"/>
      <c r="M1578" s="1689"/>
      <c r="N1578" s="1689"/>
      <c r="O1578" s="1689"/>
      <c r="P1578" s="1689">
        <f t="shared" si="295"/>
        <v>0</v>
      </c>
      <c r="Q1578" s="985"/>
      <c r="R1578" s="985"/>
      <c r="S1578" s="985"/>
      <c r="T1578" s="1858">
        <f t="shared" si="289"/>
        <v>0</v>
      </c>
    </row>
    <row r="1579" spans="1:20" ht="22.2" hidden="1" customHeight="1">
      <c r="A1579" s="1444">
        <f>COUNTIF($C$12:C1579,"x")</f>
        <v>43</v>
      </c>
      <c r="B1579" s="1457" t="s">
        <v>1742</v>
      </c>
      <c r="C1579" s="966" t="str">
        <f t="shared" si="290"/>
        <v xml:space="preserve"> </v>
      </c>
      <c r="D1579" s="1408"/>
      <c r="E1579" s="976"/>
      <c r="F1579" s="988" t="str">
        <f>VLOOKUP($B1579,DG!A:D,DG!$C$2,)</f>
        <v>Khóa néo dây cỡ dây 185</v>
      </c>
      <c r="G1579" s="976" t="str">
        <f>VLOOKUP($B1579,DG!A:D,DG!$D$2,)</f>
        <v>cái</v>
      </c>
      <c r="H1579" s="1689">
        <f t="shared" si="293"/>
        <v>0</v>
      </c>
      <c r="I1579" s="1689"/>
      <c r="J1579" s="1689">
        <f t="shared" si="294"/>
        <v>0</v>
      </c>
      <c r="K1579" s="1689"/>
      <c r="L1579" s="1689"/>
      <c r="M1579" s="1689"/>
      <c r="N1579" s="1689"/>
      <c r="O1579" s="1689"/>
      <c r="P1579" s="1689">
        <f t="shared" si="295"/>
        <v>0</v>
      </c>
      <c r="Q1579" s="985"/>
      <c r="R1579" s="985"/>
      <c r="S1579" s="985"/>
      <c r="T1579" s="1858">
        <f t="shared" si="289"/>
        <v>0</v>
      </c>
    </row>
    <row r="1580" spans="1:20" ht="22.2" hidden="1" customHeight="1">
      <c r="A1580" s="1444">
        <f>COUNTIF($C$12:C1580,"x")</f>
        <v>43</v>
      </c>
      <c r="B1580" s="1456" t="s">
        <v>2109</v>
      </c>
      <c r="C1580" s="966" t="str">
        <f t="shared" si="290"/>
        <v xml:space="preserve"> </v>
      </c>
      <c r="D1580" s="1408"/>
      <c r="E1580" s="976"/>
      <c r="F1580" s="988" t="str">
        <f>VLOOKUP($B1580,DG!A:D,DG!$C$2,)</f>
        <v>Khóa néo dây cỡ dây 150</v>
      </c>
      <c r="G1580" s="976" t="str">
        <f>VLOOKUP($B1580,DG!A:D,DG!$D$2,)</f>
        <v>cái</v>
      </c>
      <c r="H1580" s="1689">
        <f t="shared" si="293"/>
        <v>0</v>
      </c>
      <c r="I1580" s="1689"/>
      <c r="J1580" s="1689">
        <f t="shared" si="294"/>
        <v>0</v>
      </c>
      <c r="K1580" s="1689"/>
      <c r="L1580" s="1689"/>
      <c r="M1580" s="1689"/>
      <c r="N1580" s="1689"/>
      <c r="O1580" s="1689"/>
      <c r="P1580" s="1689">
        <f t="shared" si="295"/>
        <v>0</v>
      </c>
      <c r="Q1580" s="985"/>
      <c r="R1580" s="985"/>
      <c r="S1580" s="985"/>
      <c r="T1580" s="1858">
        <f t="shared" si="289"/>
        <v>0</v>
      </c>
    </row>
    <row r="1581" spans="1:20" ht="22.2" hidden="1" customHeight="1">
      <c r="A1581" s="1444">
        <f>COUNTIF($C$12:C1581,"x")</f>
        <v>43</v>
      </c>
      <c r="B1581" s="1457" t="s">
        <v>431</v>
      </c>
      <c r="C1581" s="966" t="str">
        <f t="shared" si="290"/>
        <v xml:space="preserve"> </v>
      </c>
      <c r="D1581" s="1408"/>
      <c r="E1581" s="976"/>
      <c r="F1581" s="988" t="str">
        <f>VLOOKUP($B1581,DG!A:D,DG!$C$2,)</f>
        <v>Khóa néo dây cỡ dây 120</v>
      </c>
      <c r="G1581" s="976" t="str">
        <f>VLOOKUP($B1581,DG!A:D,DG!$D$2,)</f>
        <v>cái</v>
      </c>
      <c r="H1581" s="1689">
        <f t="shared" si="293"/>
        <v>0</v>
      </c>
      <c r="I1581" s="1689"/>
      <c r="J1581" s="1689">
        <f t="shared" si="294"/>
        <v>0</v>
      </c>
      <c r="K1581" s="1689"/>
      <c r="L1581" s="1689"/>
      <c r="M1581" s="1689"/>
      <c r="N1581" s="1689"/>
      <c r="O1581" s="1689"/>
      <c r="P1581" s="1689">
        <f t="shared" si="295"/>
        <v>0</v>
      </c>
      <c r="Q1581" s="985"/>
      <c r="R1581" s="985"/>
      <c r="S1581" s="985"/>
      <c r="T1581" s="1858">
        <f t="shared" si="289"/>
        <v>0</v>
      </c>
    </row>
    <row r="1582" spans="1:20" ht="22.2" hidden="1" customHeight="1">
      <c r="A1582" s="1444">
        <f>COUNTIF($C$12:C1582,"x")</f>
        <v>43</v>
      </c>
      <c r="B1582" s="1456" t="s">
        <v>1257</v>
      </c>
      <c r="C1582" s="966" t="str">
        <f t="shared" si="290"/>
        <v xml:space="preserve"> </v>
      </c>
      <c r="D1582" s="1411"/>
      <c r="E1582" s="976"/>
      <c r="F1582" s="988" t="str">
        <f>VLOOKUP($B1582,DG!A:D,DG!$C$2,)</f>
        <v>Khóa néo dây cỡ dây 95</v>
      </c>
      <c r="G1582" s="976" t="str">
        <f>VLOOKUP($B1582,DG!A:D,DG!$D$2,)</f>
        <v>cái</v>
      </c>
      <c r="H1582" s="1689">
        <f t="shared" si="293"/>
        <v>0</v>
      </c>
      <c r="I1582" s="1689"/>
      <c r="J1582" s="1689">
        <f t="shared" si="294"/>
        <v>0</v>
      </c>
      <c r="K1582" s="1689"/>
      <c r="L1582" s="1689"/>
      <c r="M1582" s="1689"/>
      <c r="N1582" s="1689"/>
      <c r="O1582" s="1689"/>
      <c r="P1582" s="1689">
        <f t="shared" si="295"/>
        <v>0</v>
      </c>
      <c r="Q1582" s="985"/>
      <c r="R1582" s="985"/>
      <c r="S1582" s="985"/>
      <c r="T1582" s="1858">
        <f t="shared" si="289"/>
        <v>0</v>
      </c>
    </row>
    <row r="1583" spans="1:20" ht="22.2" hidden="1" customHeight="1">
      <c r="A1583" s="1444">
        <f>COUNTIF($C$12:C1583,"x")</f>
        <v>43</v>
      </c>
      <c r="B1583" s="1457" t="s">
        <v>2231</v>
      </c>
      <c r="C1583" s="966" t="str">
        <f t="shared" si="290"/>
        <v xml:space="preserve"> </v>
      </c>
      <c r="D1583" s="1408"/>
      <c r="E1583" s="976"/>
      <c r="F1583" s="988" t="str">
        <f>VLOOKUP($B1583,DG!A:D,DG!$C$2,)</f>
        <v>Khóa néo dây cỡ dây 70</v>
      </c>
      <c r="G1583" s="976" t="str">
        <f>VLOOKUP($B1583,DG!A:D,DG!$D$2,)</f>
        <v>cái</v>
      </c>
      <c r="H1583" s="1689">
        <f t="shared" si="293"/>
        <v>0</v>
      </c>
      <c r="I1583" s="1689"/>
      <c r="J1583" s="1689">
        <f t="shared" si="294"/>
        <v>0</v>
      </c>
      <c r="K1583" s="1689"/>
      <c r="L1583" s="1689"/>
      <c r="M1583" s="1689"/>
      <c r="N1583" s="1689"/>
      <c r="O1583" s="1689"/>
      <c r="P1583" s="1689">
        <f t="shared" si="295"/>
        <v>0</v>
      </c>
      <c r="Q1583" s="985"/>
      <c r="R1583" s="985"/>
      <c r="S1583" s="985"/>
      <c r="T1583" s="1858">
        <f t="shared" si="289"/>
        <v>0</v>
      </c>
    </row>
    <row r="1584" spans="1:20" ht="22.2" hidden="1" customHeight="1">
      <c r="A1584" s="1444">
        <f>COUNTIF($C$12:C1584,"x")</f>
        <v>43</v>
      </c>
      <c r="B1584" s="1457" t="s">
        <v>1482</v>
      </c>
      <c r="C1584" s="966" t="str">
        <f t="shared" si="290"/>
        <v xml:space="preserve"> </v>
      </c>
      <c r="D1584" s="1408"/>
      <c r="E1584" s="976"/>
      <c r="F1584" s="988" t="str">
        <f>VLOOKUP($B1584,DG!A:D,DG!$C$2,)</f>
        <v>Khóa néo dây cỡ dây 50</v>
      </c>
      <c r="G1584" s="976" t="str">
        <f>VLOOKUP($B1584,DG!A:D,DG!$D$2,)</f>
        <v>cái</v>
      </c>
      <c r="H1584" s="1689">
        <f t="shared" si="293"/>
        <v>0</v>
      </c>
      <c r="I1584" s="1689"/>
      <c r="J1584" s="1689">
        <f t="shared" si="294"/>
        <v>0</v>
      </c>
      <c r="K1584" s="1689"/>
      <c r="L1584" s="1689"/>
      <c r="M1584" s="1689"/>
      <c r="N1584" s="1689"/>
      <c r="O1584" s="1689"/>
      <c r="P1584" s="1689">
        <f t="shared" si="295"/>
        <v>0</v>
      </c>
      <c r="Q1584" s="985"/>
      <c r="R1584" s="985"/>
      <c r="S1584" s="985"/>
      <c r="T1584" s="1858">
        <f t="shared" si="289"/>
        <v>0</v>
      </c>
    </row>
    <row r="1585" spans="1:20" ht="22.2" hidden="1" customHeight="1">
      <c r="A1585" s="1444">
        <f>COUNTIF($C$12:C1585,"x")</f>
        <v>43</v>
      </c>
      <c r="B1585" s="1456" t="s">
        <v>1582</v>
      </c>
      <c r="C1585" s="966" t="str">
        <f t="shared" si="290"/>
        <v xml:space="preserve"> </v>
      </c>
      <c r="D1585" s="1424"/>
      <c r="E1585" s="976"/>
      <c r="F1585" s="988" t="str">
        <f>VLOOKUP($B1585,DG!A:D,DG!$C$2,)</f>
        <v>Kẹp 2 rãnh cỡ dây 50mm2</v>
      </c>
      <c r="G1585" s="976" t="str">
        <f>VLOOKUP($B1585,DG!A:D,DG!$D$2,)</f>
        <v>cái</v>
      </c>
      <c r="H1585" s="1689">
        <f t="shared" si="293"/>
        <v>0</v>
      </c>
      <c r="I1585" s="1689"/>
      <c r="J1585" s="1689">
        <f t="shared" si="294"/>
        <v>0</v>
      </c>
      <c r="K1585" s="1689"/>
      <c r="L1585" s="1689"/>
      <c r="M1585" s="1689"/>
      <c r="N1585" s="1689"/>
      <c r="O1585" s="1689"/>
      <c r="P1585" s="1689">
        <f t="shared" si="295"/>
        <v>0</v>
      </c>
      <c r="Q1585" s="985"/>
      <c r="R1585" s="985"/>
      <c r="S1585" s="985"/>
      <c r="T1585" s="1858">
        <f t="shared" si="289"/>
        <v>0</v>
      </c>
    </row>
    <row r="1586" spans="1:20" ht="22.2" hidden="1" customHeight="1">
      <c r="A1586" s="1444">
        <f>COUNTIF($C$12:C1586,"x")</f>
        <v>43</v>
      </c>
      <c r="B1586" s="1456" t="s">
        <v>1581</v>
      </c>
      <c r="C1586" s="966" t="str">
        <f t="shared" si="290"/>
        <v xml:space="preserve"> </v>
      </c>
      <c r="D1586" s="1424"/>
      <c r="E1586" s="976"/>
      <c r="F1586" s="988" t="str">
        <f>VLOOKUP($B1586,DG!A:D,DG!$C$2,)</f>
        <v>Kẹp 2 rãnh cỡ dây 70mm2</v>
      </c>
      <c r="G1586" s="976" t="str">
        <f>VLOOKUP($B1586,DG!A:D,DG!$D$2,)</f>
        <v>cái</v>
      </c>
      <c r="H1586" s="1689">
        <f t="shared" si="293"/>
        <v>0</v>
      </c>
      <c r="I1586" s="1689"/>
      <c r="J1586" s="1689">
        <f t="shared" si="294"/>
        <v>0</v>
      </c>
      <c r="K1586" s="1689"/>
      <c r="L1586" s="1689"/>
      <c r="M1586" s="1689"/>
      <c r="N1586" s="1689"/>
      <c r="O1586" s="1689"/>
      <c r="P1586" s="1689">
        <f t="shared" si="295"/>
        <v>0</v>
      </c>
      <c r="Q1586" s="985"/>
      <c r="R1586" s="985"/>
      <c r="S1586" s="985"/>
      <c r="T1586" s="1858">
        <f t="shared" si="289"/>
        <v>0</v>
      </c>
    </row>
    <row r="1587" spans="1:20" ht="22.2" hidden="1" customHeight="1">
      <c r="A1587" s="1444">
        <f>COUNTIF($C$12:C1587,"x")</f>
        <v>43</v>
      </c>
      <c r="B1587" s="1456" t="s">
        <v>1022</v>
      </c>
      <c r="C1587" s="966" t="str">
        <f t="shared" si="290"/>
        <v xml:space="preserve"> </v>
      </c>
      <c r="D1587" s="1424"/>
      <c r="E1587" s="976"/>
      <c r="F1587" s="988" t="str">
        <f>VLOOKUP($B1587,DG!A:D,DG!$C$2,)</f>
        <v>Kẹp 2 rãnh cỡ dây 95mm2</v>
      </c>
      <c r="G1587" s="976" t="str">
        <f>VLOOKUP($B1587,DG!A:D,DG!$D$2,)</f>
        <v>cái</v>
      </c>
      <c r="H1587" s="1689">
        <f t="shared" si="293"/>
        <v>0</v>
      </c>
      <c r="I1587" s="1689"/>
      <c r="J1587" s="1689">
        <f t="shared" si="294"/>
        <v>0</v>
      </c>
      <c r="K1587" s="1689"/>
      <c r="L1587" s="1689"/>
      <c r="M1587" s="1689"/>
      <c r="N1587" s="1689"/>
      <c r="O1587" s="1689"/>
      <c r="P1587" s="1689">
        <f t="shared" si="295"/>
        <v>0</v>
      </c>
      <c r="Q1587" s="985"/>
      <c r="R1587" s="985"/>
      <c r="S1587" s="985"/>
      <c r="T1587" s="1858">
        <f t="shared" si="289"/>
        <v>0</v>
      </c>
    </row>
    <row r="1588" spans="1:20" ht="22.2" hidden="1" customHeight="1">
      <c r="A1588" s="1444">
        <f>COUNTIF($C$12:C1588,"x")</f>
        <v>43</v>
      </c>
      <c r="B1588" s="1455" t="s">
        <v>1479</v>
      </c>
      <c r="C1588" s="966" t="str">
        <f t="shared" si="290"/>
        <v xml:space="preserve"> </v>
      </c>
      <c r="D1588" s="1424">
        <f>pp_NC!DP95</f>
        <v>0</v>
      </c>
      <c r="E1588" s="976"/>
      <c r="F1588" s="988" t="str">
        <f>VLOOKUP($B1588,DG!A:D,DG!$C$2,)</f>
        <v>Kẹp quai 2/0</v>
      </c>
      <c r="G1588" s="976" t="str">
        <f>VLOOKUP($B1588,DG!A:D,DG!$D$2,)</f>
        <v>cái</v>
      </c>
      <c r="H1588" s="1689">
        <f t="shared" si="293"/>
        <v>0</v>
      </c>
      <c r="I1588" s="1689"/>
      <c r="J1588" s="1689">
        <f t="shared" si="294"/>
        <v>0</v>
      </c>
      <c r="K1588" s="1689"/>
      <c r="L1588" s="1689"/>
      <c r="M1588" s="1689"/>
      <c r="N1588" s="1689"/>
      <c r="O1588" s="1689"/>
      <c r="P1588" s="1689">
        <f t="shared" si="295"/>
        <v>0</v>
      </c>
      <c r="Q1588" s="985"/>
      <c r="R1588" s="985"/>
      <c r="S1588" s="985"/>
      <c r="T1588" s="1858">
        <f t="shared" si="289"/>
        <v>0</v>
      </c>
    </row>
    <row r="1589" spans="1:20" ht="22.2" hidden="1" customHeight="1">
      <c r="A1589" s="1444">
        <f>COUNTIF($C$12:C1589,"x")</f>
        <v>43</v>
      </c>
      <c r="B1589" s="1455" t="s">
        <v>1477</v>
      </c>
      <c r="C1589" s="966" t="str">
        <f t="shared" si="290"/>
        <v xml:space="preserve"> </v>
      </c>
      <c r="D1589" s="1424">
        <f>pp_NC!DQ95</f>
        <v>0</v>
      </c>
      <c r="E1589" s="976"/>
      <c r="F1589" s="988" t="str">
        <f>VLOOKUP($B1589,DG!A:D,DG!$C$2,)</f>
        <v>Kẹp hotline 2/0</v>
      </c>
      <c r="G1589" s="976" t="str">
        <f>VLOOKUP($B1589,DG!A:D,DG!$D$2,)</f>
        <v>cái</v>
      </c>
      <c r="H1589" s="1689">
        <f t="shared" si="293"/>
        <v>0</v>
      </c>
      <c r="I1589" s="1689"/>
      <c r="J1589" s="1689">
        <f t="shared" si="294"/>
        <v>0</v>
      </c>
      <c r="K1589" s="1689"/>
      <c r="L1589" s="1689"/>
      <c r="M1589" s="1689"/>
      <c r="N1589" s="1689"/>
      <c r="O1589" s="1689"/>
      <c r="P1589" s="1689">
        <f t="shared" si="295"/>
        <v>0</v>
      </c>
      <c r="Q1589" s="985"/>
      <c r="R1589" s="985"/>
      <c r="S1589" s="985"/>
      <c r="T1589" s="1858">
        <f t="shared" si="289"/>
        <v>0</v>
      </c>
    </row>
    <row r="1590" spans="1:20" ht="22.2" hidden="1" customHeight="1">
      <c r="A1590" s="1444">
        <f>COUNTIF($C$12:C1590,"x")</f>
        <v>43</v>
      </c>
      <c r="B1590" s="1455" t="s">
        <v>905</v>
      </c>
      <c r="C1590" s="966" t="str">
        <f t="shared" si="290"/>
        <v xml:space="preserve"> </v>
      </c>
      <c r="D1590" s="1424">
        <f>pp_NC!DR95</f>
        <v>0</v>
      </c>
      <c r="E1590" s="976"/>
      <c r="F1590" s="988" t="str">
        <f>VLOOKUP($B1590,DG!A:D,DG!$C$2,)</f>
        <v>Kẹp ép WR cỡ dây 50mm2</v>
      </c>
      <c r="G1590" s="976" t="str">
        <f>VLOOKUP($B1590,DG!A:D,DG!$D$2,)</f>
        <v>cái</v>
      </c>
      <c r="H1590" s="1689">
        <f t="shared" si="293"/>
        <v>0</v>
      </c>
      <c r="I1590" s="1689"/>
      <c r="J1590" s="1689">
        <f t="shared" si="294"/>
        <v>0</v>
      </c>
      <c r="K1590" s="1689"/>
      <c r="L1590" s="1689"/>
      <c r="M1590" s="1689"/>
      <c r="N1590" s="1689"/>
      <c r="O1590" s="1689"/>
      <c r="P1590" s="1689">
        <f t="shared" si="295"/>
        <v>0</v>
      </c>
      <c r="Q1590" s="985"/>
      <c r="R1590" s="985"/>
      <c r="S1590" s="985"/>
      <c r="T1590" s="1858">
        <f t="shared" si="289"/>
        <v>0</v>
      </c>
    </row>
    <row r="1591" spans="1:20" ht="22.2" hidden="1" customHeight="1">
      <c r="A1591" s="1444">
        <f>COUNTIF($C$12:C1591,"x")</f>
        <v>43</v>
      </c>
      <c r="B1591" s="1455" t="s">
        <v>36</v>
      </c>
      <c r="C1591" s="966" t="str">
        <f t="shared" si="290"/>
        <v xml:space="preserve"> </v>
      </c>
      <c r="D1591" s="1424">
        <f>pp_NC!DS95</f>
        <v>0</v>
      </c>
      <c r="E1591" s="976"/>
      <c r="F1591" s="988" t="str">
        <f>VLOOKUP($B1591,DG!A:D,DG!$C$2,)</f>
        <v>Kẹp ép WR cỡ dây 95mm2</v>
      </c>
      <c r="G1591" s="976" t="str">
        <f>VLOOKUP($B1591,DG!A:D,DG!$D$2,)</f>
        <v>cái</v>
      </c>
      <c r="H1591" s="1689">
        <f t="shared" si="293"/>
        <v>0</v>
      </c>
      <c r="I1591" s="1689"/>
      <c r="J1591" s="1689">
        <f t="shared" si="294"/>
        <v>0</v>
      </c>
      <c r="K1591" s="1689"/>
      <c r="L1591" s="1689"/>
      <c r="M1591" s="1689"/>
      <c r="N1591" s="1689"/>
      <c r="O1591" s="1689"/>
      <c r="P1591" s="1689">
        <f t="shared" si="295"/>
        <v>0</v>
      </c>
      <c r="Q1591" s="985"/>
      <c r="R1591" s="985"/>
      <c r="S1591" s="985"/>
      <c r="T1591" s="1858">
        <f t="shared" si="289"/>
        <v>0</v>
      </c>
    </row>
    <row r="1592" spans="1:20" ht="22.2" hidden="1" customHeight="1">
      <c r="A1592" s="1444">
        <f>COUNTIF($C$12:C1592,"x")</f>
        <v>43</v>
      </c>
      <c r="B1592" s="1456" t="s">
        <v>1067</v>
      </c>
      <c r="C1592" s="966" t="str">
        <f t="shared" si="290"/>
        <v xml:space="preserve"> </v>
      </c>
      <c r="D1592" s="1424">
        <f>pp_NC!DU95</f>
        <v>0</v>
      </c>
      <c r="E1592" s="976"/>
      <c r="F1592" s="988" t="str">
        <f>VLOOKUP($B1592,DG!A:D,DG!$C$2,)</f>
        <v>Kẹp ép WR cỡ dây 150mm2</v>
      </c>
      <c r="G1592" s="976" t="str">
        <f>VLOOKUP($B1592,DG!A:D,DG!$D$2,)</f>
        <v>cái</v>
      </c>
      <c r="H1592" s="1689">
        <f t="shared" si="293"/>
        <v>0</v>
      </c>
      <c r="I1592" s="1689"/>
      <c r="J1592" s="1689">
        <f t="shared" si="294"/>
        <v>0</v>
      </c>
      <c r="K1592" s="1689"/>
      <c r="L1592" s="1689"/>
      <c r="M1592" s="1689"/>
      <c r="N1592" s="1689"/>
      <c r="O1592" s="1689"/>
      <c r="P1592" s="1689">
        <f t="shared" si="295"/>
        <v>0</v>
      </c>
      <c r="Q1592" s="985"/>
      <c r="R1592" s="985"/>
      <c r="S1592" s="985"/>
      <c r="T1592" s="1858">
        <f t="shared" si="289"/>
        <v>0</v>
      </c>
    </row>
    <row r="1593" spans="1:20" ht="22.2" hidden="1" customHeight="1">
      <c r="A1593" s="1444">
        <f>COUNTIF($C$12:C1593,"x")</f>
        <v>43</v>
      </c>
      <c r="B1593" s="1456" t="s">
        <v>14</v>
      </c>
      <c r="C1593" s="966" t="str">
        <f t="shared" si="290"/>
        <v xml:space="preserve"> </v>
      </c>
      <c r="D1593" s="1424"/>
      <c r="E1593" s="976"/>
      <c r="F1593" s="988" t="str">
        <f>VLOOKUP($B1593,DG!A:D,DG!$C$2,)</f>
        <v>Kẹp ép WR cỡ dây 185mm2</v>
      </c>
      <c r="G1593" s="976" t="str">
        <f>VLOOKUP($B1593,DG!A:D,DG!$D$2,)</f>
        <v>cái</v>
      </c>
      <c r="H1593" s="1689">
        <f t="shared" si="293"/>
        <v>0</v>
      </c>
      <c r="I1593" s="1689"/>
      <c r="J1593" s="1689">
        <f t="shared" si="294"/>
        <v>0</v>
      </c>
      <c r="K1593" s="1689"/>
      <c r="L1593" s="1689"/>
      <c r="M1593" s="1689"/>
      <c r="N1593" s="1689"/>
      <c r="O1593" s="1689"/>
      <c r="P1593" s="1689">
        <f t="shared" si="295"/>
        <v>0</v>
      </c>
      <c r="Q1593" s="985"/>
      <c r="R1593" s="985"/>
      <c r="S1593" s="985"/>
      <c r="T1593" s="1858">
        <f t="shared" si="289"/>
        <v>0</v>
      </c>
    </row>
    <row r="1594" spans="1:20" ht="22.2" hidden="1" customHeight="1">
      <c r="A1594" s="1444">
        <f>COUNTIF($C$12:C1594,"x")</f>
        <v>43</v>
      </c>
      <c r="B1594" s="1456" t="s">
        <v>1068</v>
      </c>
      <c r="C1594" s="966" t="str">
        <f t="shared" si="290"/>
        <v xml:space="preserve"> </v>
      </c>
      <c r="D1594" s="1424">
        <f>pp_NC!DV95</f>
        <v>0</v>
      </c>
      <c r="E1594" s="976"/>
      <c r="F1594" s="988" t="str">
        <f>VLOOKUP($B1594,DG!A:D,DG!$C$2,)</f>
        <v>Kẹp ép WR cỡ dây 240mm2</v>
      </c>
      <c r="G1594" s="976" t="str">
        <f>VLOOKUP($B1594,DG!A:D,DG!$D$2,)</f>
        <v>cái</v>
      </c>
      <c r="H1594" s="1689">
        <f t="shared" si="293"/>
        <v>0</v>
      </c>
      <c r="I1594" s="1689"/>
      <c r="J1594" s="1689">
        <f t="shared" si="294"/>
        <v>0</v>
      </c>
      <c r="K1594" s="1689"/>
      <c r="L1594" s="1689"/>
      <c r="M1594" s="1689"/>
      <c r="N1594" s="1689"/>
      <c r="O1594" s="1689"/>
      <c r="P1594" s="1689">
        <f t="shared" si="295"/>
        <v>0</v>
      </c>
      <c r="Q1594" s="985"/>
      <c r="R1594" s="985"/>
      <c r="S1594" s="985"/>
      <c r="T1594" s="1858">
        <f t="shared" si="289"/>
        <v>0</v>
      </c>
    </row>
    <row r="1595" spans="1:20" ht="22.2" hidden="1" customHeight="1">
      <c r="A1595" s="1444">
        <f>COUNTIF($C$12:C1595,"x")</f>
        <v>43</v>
      </c>
      <c r="B1595" s="1456" t="s">
        <v>1887</v>
      </c>
      <c r="C1595" s="966" t="str">
        <f t="shared" si="290"/>
        <v xml:space="preserve"> </v>
      </c>
      <c r="D1595" s="1424">
        <f>pp_NC!DW184</f>
        <v>0</v>
      </c>
      <c r="E1595" s="976" t="str">
        <f>VLOOKUP($B1595,DG!A:D,DG!$B$2,)</f>
        <v>03.4003</v>
      </c>
      <c r="F1595" s="988" t="str">
        <f>VLOOKUP($B1595,DG!A:D,DG!$C$2,)</f>
        <v>Đầu cosse ép Cu-Al 70mm2</v>
      </c>
      <c r="G1595" s="976" t="str">
        <f>VLOOKUP($B1595,DG!A:D,DG!$D$2,)</f>
        <v>cái</v>
      </c>
      <c r="H1595" s="1689">
        <f t="shared" si="293"/>
        <v>0</v>
      </c>
      <c r="I1595" s="1689"/>
      <c r="J1595" s="1689">
        <f t="shared" si="294"/>
        <v>0</v>
      </c>
      <c r="K1595" s="1689"/>
      <c r="L1595" s="1689"/>
      <c r="M1595" s="1689"/>
      <c r="N1595" s="1689"/>
      <c r="O1595" s="1689"/>
      <c r="P1595" s="1689">
        <f t="shared" si="295"/>
        <v>0</v>
      </c>
      <c r="Q1595" s="985"/>
      <c r="R1595" s="985"/>
      <c r="S1595" s="985"/>
      <c r="T1595" s="1858">
        <f t="shared" si="289"/>
        <v>0</v>
      </c>
    </row>
    <row r="1596" spans="1:20" ht="22.2" hidden="1" customHeight="1">
      <c r="A1596" s="1444">
        <f>COUNTIF($C$12:C1596,"x")</f>
        <v>43</v>
      </c>
      <c r="B1596" s="1456" t="s">
        <v>1888</v>
      </c>
      <c r="C1596" s="966" t="str">
        <f t="shared" si="290"/>
        <v xml:space="preserve"> </v>
      </c>
      <c r="D1596" s="1424">
        <f>pp_NC!DY184</f>
        <v>0</v>
      </c>
      <c r="E1596" s="976" t="str">
        <f>VLOOKUP($B1596,DG!A:D,DG!$B$2,)</f>
        <v>03.4004</v>
      </c>
      <c r="F1596" s="988" t="str">
        <f>VLOOKUP($B1596,DG!A:D,DG!$C$2,)</f>
        <v>Đầu cosse ép Cu-Al 95mm2</v>
      </c>
      <c r="G1596" s="976" t="str">
        <f>VLOOKUP($B1596,DG!A:D,DG!$D$2,)</f>
        <v>cái</v>
      </c>
      <c r="H1596" s="1689">
        <f t="shared" si="293"/>
        <v>0</v>
      </c>
      <c r="I1596" s="1689"/>
      <c r="J1596" s="1689">
        <f t="shared" si="294"/>
        <v>0</v>
      </c>
      <c r="K1596" s="1689"/>
      <c r="L1596" s="1689"/>
      <c r="M1596" s="1689"/>
      <c r="N1596" s="1689"/>
      <c r="O1596" s="1689"/>
      <c r="P1596" s="1689">
        <f t="shared" si="295"/>
        <v>0</v>
      </c>
      <c r="Q1596" s="985"/>
      <c r="R1596" s="985"/>
      <c r="S1596" s="985"/>
      <c r="T1596" s="1858">
        <f t="shared" si="289"/>
        <v>0</v>
      </c>
    </row>
    <row r="1597" spans="1:20" ht="22.2" hidden="1" customHeight="1">
      <c r="A1597" s="1444">
        <f>COUNTIF($C$12:C1597,"x")</f>
        <v>43</v>
      </c>
      <c r="B1597" s="1456" t="s">
        <v>1889</v>
      </c>
      <c r="C1597" s="966" t="str">
        <f t="shared" si="290"/>
        <v xml:space="preserve"> </v>
      </c>
      <c r="D1597" s="1424">
        <f>pp_NC!DZ184</f>
        <v>0</v>
      </c>
      <c r="E1597" s="976" t="str">
        <f>VLOOKUP($B1597,DG!A:D,DG!$B$2,)</f>
        <v>03.4005</v>
      </c>
      <c r="F1597" s="988" t="str">
        <f>VLOOKUP($B1597,DG!A:D,DG!$C$2,)</f>
        <v>Đầu cosse ép Cu-Al 120mm2</v>
      </c>
      <c r="G1597" s="976" t="str">
        <f>VLOOKUP($B1597,DG!A:D,DG!$D$2,)</f>
        <v>cái</v>
      </c>
      <c r="H1597" s="1689">
        <f t="shared" si="293"/>
        <v>0</v>
      </c>
      <c r="I1597" s="1689"/>
      <c r="J1597" s="1689">
        <f t="shared" si="294"/>
        <v>0</v>
      </c>
      <c r="K1597" s="1689"/>
      <c r="L1597" s="1689"/>
      <c r="M1597" s="1689"/>
      <c r="N1597" s="1689"/>
      <c r="O1597" s="1689"/>
      <c r="P1597" s="1689">
        <f t="shared" si="295"/>
        <v>0</v>
      </c>
      <c r="Q1597" s="985"/>
      <c r="R1597" s="985"/>
      <c r="S1597" s="985"/>
      <c r="T1597" s="1858">
        <f t="shared" si="289"/>
        <v>0</v>
      </c>
    </row>
    <row r="1598" spans="1:20" ht="22.2" hidden="1" customHeight="1">
      <c r="A1598" s="1444">
        <f>COUNTIF($C$12:C1598,"x")</f>
        <v>43</v>
      </c>
      <c r="B1598" s="1456" t="s">
        <v>1019</v>
      </c>
      <c r="C1598" s="966" t="str">
        <f t="shared" si="290"/>
        <v xml:space="preserve"> </v>
      </c>
      <c r="D1598" s="1424">
        <f>pp_NC!EA184</f>
        <v>0</v>
      </c>
      <c r="E1598" s="976" t="str">
        <f>VLOOKUP($B1598,DG!A:D,DG!$B$2,)</f>
        <v>03.4006</v>
      </c>
      <c r="F1598" s="988" t="str">
        <f>VLOOKUP($B1598,DG!A:D,DG!$C$2,)</f>
        <v>Đầu cosse ép Cu-Al 150mm2</v>
      </c>
      <c r="G1598" s="976" t="str">
        <f>VLOOKUP($B1598,DG!A:D,DG!$D$2,)</f>
        <v>cái</v>
      </c>
      <c r="H1598" s="1689">
        <f t="shared" si="293"/>
        <v>0</v>
      </c>
      <c r="I1598" s="1689"/>
      <c r="J1598" s="1689">
        <f t="shared" si="294"/>
        <v>0</v>
      </c>
      <c r="K1598" s="1689"/>
      <c r="L1598" s="1689"/>
      <c r="M1598" s="1689"/>
      <c r="N1598" s="1689"/>
      <c r="O1598" s="1689"/>
      <c r="P1598" s="1689">
        <f t="shared" si="295"/>
        <v>0</v>
      </c>
      <c r="Q1598" s="985"/>
      <c r="R1598" s="985"/>
      <c r="S1598" s="985"/>
      <c r="T1598" s="1858">
        <f t="shared" si="289"/>
        <v>0</v>
      </c>
    </row>
    <row r="1599" spans="1:20" ht="22.2" hidden="1" customHeight="1">
      <c r="A1599" s="1444">
        <f>COUNTIF($C$12:C1599,"x")</f>
        <v>43</v>
      </c>
      <c r="B1599" s="1456" t="s">
        <v>1020</v>
      </c>
      <c r="C1599" s="966" t="str">
        <f t="shared" si="290"/>
        <v xml:space="preserve"> </v>
      </c>
      <c r="D1599" s="1424"/>
      <c r="E1599" s="976" t="str">
        <f>VLOOKUP($B1599,DG!A:D,DG!$B$2,)</f>
        <v>03.4007</v>
      </c>
      <c r="F1599" s="988" t="str">
        <f>VLOOKUP($B1599,DG!A:D,DG!$C$2,)</f>
        <v>Đầu cosse ép Cu-Al 185mm2</v>
      </c>
      <c r="G1599" s="976" t="str">
        <f>VLOOKUP($B1599,DG!A:D,DG!$D$2,)</f>
        <v>cái</v>
      </c>
      <c r="H1599" s="1689">
        <f t="shared" si="293"/>
        <v>0</v>
      </c>
      <c r="I1599" s="1689"/>
      <c r="J1599" s="1689">
        <f t="shared" si="294"/>
        <v>0</v>
      </c>
      <c r="K1599" s="1689"/>
      <c r="L1599" s="1689"/>
      <c r="M1599" s="1689"/>
      <c r="N1599" s="1689"/>
      <c r="O1599" s="1689"/>
      <c r="P1599" s="1689">
        <f t="shared" si="295"/>
        <v>0</v>
      </c>
      <c r="Q1599" s="985"/>
      <c r="R1599" s="985"/>
      <c r="S1599" s="985"/>
      <c r="T1599" s="1858">
        <f t="shared" ref="T1599:T1662" si="296">IFERROR(HLOOKUP(B1599,BangKeTru,3,0),0)</f>
        <v>0</v>
      </c>
    </row>
    <row r="1600" spans="1:20" ht="22.2" hidden="1" customHeight="1">
      <c r="A1600" s="1444">
        <f>COUNTIF($C$12:C1600,"x")</f>
        <v>43</v>
      </c>
      <c r="B1600" s="1456" t="s">
        <v>1831</v>
      </c>
      <c r="C1600" s="966" t="str">
        <f t="shared" si="290"/>
        <v xml:space="preserve"> </v>
      </c>
      <c r="D1600" s="1424">
        <f>pp_NC!EC95</f>
        <v>0</v>
      </c>
      <c r="E1600" s="976" t="str">
        <f>VLOOKUP($B1600,DG!A:D,DG!$B$2,)</f>
        <v>03.4008</v>
      </c>
      <c r="F1600" s="988" t="str">
        <f>VLOOKUP($B1600,DG!A:D,DG!$C$2,)</f>
        <v>Đầu cosse ép Cu-Al 240mm2</v>
      </c>
      <c r="G1600" s="976" t="str">
        <f>VLOOKUP($B1600,DG!A:D,DG!$D$2,)</f>
        <v>cái</v>
      </c>
      <c r="H1600" s="1689">
        <f t="shared" si="293"/>
        <v>0</v>
      </c>
      <c r="I1600" s="1689"/>
      <c r="J1600" s="1689">
        <f t="shared" si="294"/>
        <v>0</v>
      </c>
      <c r="K1600" s="1689"/>
      <c r="L1600" s="1689"/>
      <c r="M1600" s="1689"/>
      <c r="N1600" s="1689"/>
      <c r="O1600" s="1689"/>
      <c r="P1600" s="1689">
        <f t="shared" si="295"/>
        <v>0</v>
      </c>
      <c r="Q1600" s="985"/>
      <c r="R1600" s="985"/>
      <c r="S1600" s="985"/>
      <c r="T1600" s="1858">
        <f t="shared" si="296"/>
        <v>0</v>
      </c>
    </row>
    <row r="1601" spans="1:20" ht="22.2" hidden="1" customHeight="1">
      <c r="A1601" s="1444">
        <f>COUNTIF($C$12:C1601,"x")</f>
        <v>43</v>
      </c>
      <c r="B1601" s="1456" t="s">
        <v>437</v>
      </c>
      <c r="C1601" s="966" t="str">
        <f t="shared" si="290"/>
        <v xml:space="preserve"> </v>
      </c>
      <c r="D1601" s="1424">
        <f>SUM(D1595:D1600)*2</f>
        <v>0</v>
      </c>
      <c r="E1601" s="976">
        <f>VLOOKUP($B1601,DG!A:D,DG!$B$2,)</f>
        <v>0</v>
      </c>
      <c r="F1601" s="988" t="str">
        <f>VLOOKUP($B1601,DG!A:D,DG!$C$2,)</f>
        <v>Boulon 12x30+ 2 long đền vuông D14-50x50x3/Zn</v>
      </c>
      <c r="G1601" s="976" t="str">
        <f>VLOOKUP($B1601,DG!A:D,DG!$D$2,)</f>
        <v>bộ</v>
      </c>
      <c r="H1601" s="1689">
        <f t="shared" si="293"/>
        <v>0</v>
      </c>
      <c r="I1601" s="1689"/>
      <c r="J1601" s="1689">
        <f t="shared" si="294"/>
        <v>0</v>
      </c>
      <c r="K1601" s="1689"/>
      <c r="L1601" s="1689"/>
      <c r="M1601" s="1689"/>
      <c r="N1601" s="1689"/>
      <c r="O1601" s="1689"/>
      <c r="P1601" s="1689">
        <f t="shared" si="295"/>
        <v>0</v>
      </c>
      <c r="Q1601" s="985"/>
      <c r="R1601" s="985"/>
      <c r="S1601" s="985"/>
      <c r="T1601" s="1858">
        <f t="shared" si="296"/>
        <v>0</v>
      </c>
    </row>
    <row r="1602" spans="1:20" ht="22.2" hidden="1" customHeight="1">
      <c r="A1602" s="1444">
        <f>COUNTIF($C$12:C1602,"x")</f>
        <v>43</v>
      </c>
      <c r="B1602" s="1456" t="s">
        <v>1479</v>
      </c>
      <c r="C1602" s="966" t="str">
        <f t="shared" si="290"/>
        <v xml:space="preserve"> </v>
      </c>
      <c r="D1602" s="1424"/>
      <c r="E1602" s="976" t="str">
        <f>VLOOKUP($B1602,DG!A:D,DG!$B$2,)</f>
        <v>04.3007</v>
      </c>
      <c r="F1602" s="988" t="str">
        <f>VLOOKUP($B1602,DG!A:D,DG!$C$2,)</f>
        <v>Kẹp quai 2/0</v>
      </c>
      <c r="G1602" s="976" t="str">
        <f>VLOOKUP($B1602,DG!A:D,DG!$D$2,)</f>
        <v>cái</v>
      </c>
      <c r="H1602" s="1689">
        <f t="shared" si="293"/>
        <v>0</v>
      </c>
      <c r="I1602" s="1689"/>
      <c r="J1602" s="1689">
        <f t="shared" si="294"/>
        <v>0</v>
      </c>
      <c r="K1602" s="1689"/>
      <c r="L1602" s="1689"/>
      <c r="M1602" s="1689"/>
      <c r="N1602" s="1689"/>
      <c r="O1602" s="1689"/>
      <c r="P1602" s="1689">
        <f t="shared" si="295"/>
        <v>0</v>
      </c>
      <c r="Q1602" s="985"/>
      <c r="R1602" s="985"/>
      <c r="S1602" s="985"/>
      <c r="T1602" s="1858">
        <f t="shared" si="296"/>
        <v>0</v>
      </c>
    </row>
    <row r="1603" spans="1:20" ht="22.2" hidden="1" customHeight="1">
      <c r="A1603" s="1444">
        <f>COUNTIF($C$12:C1603,"x")</f>
        <v>43</v>
      </c>
      <c r="B1603" s="1456" t="s">
        <v>236</v>
      </c>
      <c r="C1603" s="966" t="str">
        <f t="shared" si="290"/>
        <v xml:space="preserve"> </v>
      </c>
      <c r="D1603" s="1411">
        <f>D1602</f>
        <v>0</v>
      </c>
      <c r="E1603" s="976" t="str">
        <f>VLOOKUP($B1603,DG!A:D,DG!$B$2,)</f>
        <v>04.3007</v>
      </c>
      <c r="F1603" s="988" t="str">
        <f>VLOOKUP($B1603,DG!A:D,DG!$C$2,)</f>
        <v>Kẹp quai 4/0</v>
      </c>
      <c r="G1603" s="976" t="str">
        <f>VLOOKUP($B1603,DG!A:D,DG!$D$2,)</f>
        <v>cái</v>
      </c>
      <c r="H1603" s="1689">
        <f t="shared" si="293"/>
        <v>0</v>
      </c>
      <c r="I1603" s="1689"/>
      <c r="J1603" s="1689">
        <f t="shared" si="294"/>
        <v>0</v>
      </c>
      <c r="K1603" s="1689"/>
      <c r="L1603" s="1689"/>
      <c r="M1603" s="1689"/>
      <c r="N1603" s="1689"/>
      <c r="O1603" s="1689"/>
      <c r="P1603" s="1689">
        <f t="shared" si="295"/>
        <v>0</v>
      </c>
      <c r="Q1603" s="985"/>
      <c r="R1603" s="985"/>
      <c r="S1603" s="985"/>
      <c r="T1603" s="1858">
        <f t="shared" si="296"/>
        <v>0</v>
      </c>
    </row>
    <row r="1604" spans="1:20" ht="22.2" hidden="1" customHeight="1">
      <c r="A1604" s="1444">
        <f>COUNTIF($C$12:C1604,"x")</f>
        <v>43</v>
      </c>
      <c r="B1604" s="1471" t="s">
        <v>1477</v>
      </c>
      <c r="C1604" s="966" t="str">
        <f t="shared" si="290"/>
        <v xml:space="preserve"> </v>
      </c>
      <c r="D1604" s="1411">
        <f>D1602*3/2</f>
        <v>0</v>
      </c>
      <c r="E1604" s="976"/>
      <c r="F1604" s="988" t="str">
        <f>VLOOKUP($B1604,DG!A:D,DG!$C$2,)</f>
        <v>Kẹp hotline 2/0</v>
      </c>
      <c r="G1604" s="976" t="str">
        <f>VLOOKUP($B1604,DG!A:D,DG!$D$2,)</f>
        <v>cái</v>
      </c>
      <c r="H1604" s="1689">
        <f t="shared" si="293"/>
        <v>0</v>
      </c>
      <c r="I1604" s="1689"/>
      <c r="J1604" s="1689">
        <f t="shared" si="294"/>
        <v>0</v>
      </c>
      <c r="K1604" s="1689"/>
      <c r="L1604" s="1689"/>
      <c r="M1604" s="1689"/>
      <c r="N1604" s="1689"/>
      <c r="O1604" s="1689"/>
      <c r="P1604" s="1689">
        <f t="shared" si="295"/>
        <v>0</v>
      </c>
      <c r="Q1604" s="985"/>
      <c r="R1604" s="985"/>
      <c r="S1604" s="985"/>
      <c r="T1604" s="1858">
        <f t="shared" si="296"/>
        <v>0</v>
      </c>
    </row>
    <row r="1605" spans="1:20" ht="22.2" hidden="1" customHeight="1">
      <c r="A1605" s="1444">
        <f>COUNTIF($C$12:C1605,"x")</f>
        <v>43</v>
      </c>
      <c r="B1605" s="1471" t="s">
        <v>1049</v>
      </c>
      <c r="C1605" s="966" t="str">
        <f t="shared" si="290"/>
        <v xml:space="preserve"> </v>
      </c>
      <c r="D1605" s="1424">
        <f>pp_NC!BP184</f>
        <v>0</v>
      </c>
      <c r="E1605" s="976"/>
      <c r="F1605" s="988" t="str">
        <f>VLOOKUP($B1605,DG!A:D,DG!$C$2,)</f>
        <v>Kẹp hotline 4/0</v>
      </c>
      <c r="G1605" s="976" t="str">
        <f>VLOOKUP($B1605,DG!A:D,DG!$D$2,)</f>
        <v>cái</v>
      </c>
      <c r="H1605" s="1689">
        <f t="shared" si="293"/>
        <v>0</v>
      </c>
      <c r="I1605" s="1689"/>
      <c r="J1605" s="1689">
        <f t="shared" si="294"/>
        <v>0</v>
      </c>
      <c r="K1605" s="1689"/>
      <c r="L1605" s="1689"/>
      <c r="M1605" s="1689"/>
      <c r="N1605" s="1689"/>
      <c r="O1605" s="1689"/>
      <c r="P1605" s="1689">
        <f t="shared" si="295"/>
        <v>0</v>
      </c>
      <c r="Q1605" s="985"/>
      <c r="R1605" s="985"/>
      <c r="S1605" s="985"/>
      <c r="T1605" s="1858">
        <f t="shared" si="296"/>
        <v>0</v>
      </c>
    </row>
    <row r="1606" spans="1:20" ht="22.2" hidden="1" customHeight="1">
      <c r="A1606" s="1444">
        <f>COUNTIF($C$12:C1606,"x")</f>
        <v>43</v>
      </c>
      <c r="B1606" s="1456" t="s">
        <v>1487</v>
      </c>
      <c r="C1606" s="966" t="str">
        <f t="shared" si="290"/>
        <v xml:space="preserve"> </v>
      </c>
      <c r="D1606" s="1411">
        <f>ROUND((E1518)*1.03/1500,0)</f>
        <v>0</v>
      </c>
      <c r="E1606" s="976"/>
      <c r="F1606" s="988" t="str">
        <f>VLOOKUP($B1606,DG!A:D,DG!$C$2,)</f>
        <v>Ống nối dây cỡ 50mm2</v>
      </c>
      <c r="G1606" s="976" t="str">
        <f>VLOOKUP($B1606,DG!A:D,DG!$D$2,)</f>
        <v>cái</v>
      </c>
      <c r="H1606" s="1689">
        <f t="shared" si="293"/>
        <v>0</v>
      </c>
      <c r="I1606" s="1689"/>
      <c r="J1606" s="1689">
        <f t="shared" si="294"/>
        <v>0</v>
      </c>
      <c r="K1606" s="1689"/>
      <c r="L1606" s="1689"/>
      <c r="M1606" s="1689"/>
      <c r="N1606" s="1689"/>
      <c r="O1606" s="1689"/>
      <c r="P1606" s="1689">
        <f t="shared" si="295"/>
        <v>0</v>
      </c>
      <c r="Q1606" s="985"/>
      <c r="R1606" s="985"/>
      <c r="S1606" s="985"/>
      <c r="T1606" s="1858">
        <f t="shared" si="296"/>
        <v>0</v>
      </c>
    </row>
    <row r="1607" spans="1:20" ht="22.2" hidden="1" customHeight="1">
      <c r="A1607" s="1444">
        <f>COUNTIF($C$12:C1607,"x")</f>
        <v>43</v>
      </c>
      <c r="B1607" s="1456" t="s">
        <v>1488</v>
      </c>
      <c r="C1607" s="966" t="str">
        <f t="shared" ref="C1607:C1670" si="297">IF(OR(P1607&lt;&gt;0,H1607&lt;&gt;0),"x"," ")</f>
        <v xml:space="preserve"> </v>
      </c>
      <c r="D1607" s="1411">
        <f>ROUND((E1517+E1525)*1.03/1400,0)</f>
        <v>0</v>
      </c>
      <c r="E1607" s="976"/>
      <c r="F1607" s="988" t="str">
        <f>VLOOKUP($B1607,DG!A:D,DG!$C$2,)</f>
        <v>Ống nối dây cỡ 70mm2</v>
      </c>
      <c r="G1607" s="976" t="str">
        <f>VLOOKUP($B1607,DG!A:D,DG!$D$2,)</f>
        <v>cái</v>
      </c>
      <c r="H1607" s="1689">
        <f t="shared" si="293"/>
        <v>0</v>
      </c>
      <c r="I1607" s="1689"/>
      <c r="J1607" s="1689">
        <f t="shared" si="294"/>
        <v>0</v>
      </c>
      <c r="K1607" s="1689"/>
      <c r="L1607" s="1689"/>
      <c r="M1607" s="1689"/>
      <c r="N1607" s="1689"/>
      <c r="O1607" s="1689"/>
      <c r="P1607" s="1689">
        <f t="shared" si="295"/>
        <v>0</v>
      </c>
      <c r="Q1607" s="985"/>
      <c r="R1607" s="985"/>
      <c r="S1607" s="985"/>
      <c r="T1607" s="1858">
        <f t="shared" si="296"/>
        <v>0</v>
      </c>
    </row>
    <row r="1608" spans="1:20" ht="22.2" hidden="1" customHeight="1">
      <c r="A1608" s="1444">
        <f>COUNTIF($C$12:C1608,"x")</f>
        <v>43</v>
      </c>
      <c r="B1608" s="1456" t="s">
        <v>432</v>
      </c>
      <c r="C1608" s="966" t="str">
        <f t="shared" si="297"/>
        <v xml:space="preserve"> </v>
      </c>
      <c r="D1608" s="1411">
        <f>ROUND((E1516+E1524)*1.03/1200,0)</f>
        <v>0</v>
      </c>
      <c r="E1608" s="976"/>
      <c r="F1608" s="988" t="str">
        <f>VLOOKUP($B1608,DG!A:D,DG!$C$2,)</f>
        <v>Ống nối dây cỡ 95mm2</v>
      </c>
      <c r="G1608" s="976" t="str">
        <f>VLOOKUP($B1608,DG!A:D,DG!$D$2,)</f>
        <v>cái</v>
      </c>
      <c r="H1608" s="1689">
        <f t="shared" ref="H1608:H1614" si="298">$D1608</f>
        <v>0</v>
      </c>
      <c r="I1608" s="1689"/>
      <c r="J1608" s="1689">
        <f t="shared" ref="J1608:J1614" si="299">D1608</f>
        <v>0</v>
      </c>
      <c r="K1608" s="1689"/>
      <c r="L1608" s="1689"/>
      <c r="M1608" s="1689"/>
      <c r="N1608" s="1689"/>
      <c r="O1608" s="1689"/>
      <c r="P1608" s="1689">
        <f t="shared" si="295"/>
        <v>0</v>
      </c>
      <c r="Q1608" s="985"/>
      <c r="R1608" s="985"/>
      <c r="S1608" s="985"/>
      <c r="T1608" s="1858">
        <f t="shared" si="296"/>
        <v>0</v>
      </c>
    </row>
    <row r="1609" spans="1:20" ht="22.2" hidden="1" customHeight="1">
      <c r="A1609" s="1444">
        <f>COUNTIF($C$12:C1609,"x")</f>
        <v>43</v>
      </c>
      <c r="B1609" s="1456" t="s">
        <v>573</v>
      </c>
      <c r="C1609" s="966" t="str">
        <f t="shared" si="297"/>
        <v xml:space="preserve"> </v>
      </c>
      <c r="D1609" s="1411">
        <f>ROUND((E1515+E1523)*1.03/1200,0)</f>
        <v>0</v>
      </c>
      <c r="E1609" s="976"/>
      <c r="F1609" s="988" t="str">
        <f>VLOOKUP($B1609,DG!A:D,DG!$C$2,)</f>
        <v>Ống nối dây cỡ 120mm2</v>
      </c>
      <c r="G1609" s="976" t="str">
        <f>VLOOKUP($B1609,DG!A:D,DG!$D$2,)</f>
        <v>cái</v>
      </c>
      <c r="H1609" s="1689">
        <f t="shared" si="298"/>
        <v>0</v>
      </c>
      <c r="I1609" s="1689"/>
      <c r="J1609" s="1689">
        <f t="shared" si="299"/>
        <v>0</v>
      </c>
      <c r="K1609" s="1689"/>
      <c r="L1609" s="1689"/>
      <c r="M1609" s="1689"/>
      <c r="N1609" s="1689"/>
      <c r="O1609" s="1689"/>
      <c r="P1609" s="1689">
        <f t="shared" si="295"/>
        <v>0</v>
      </c>
      <c r="Q1609" s="985"/>
      <c r="R1609" s="985"/>
      <c r="S1609" s="985"/>
      <c r="T1609" s="1858">
        <f t="shared" si="296"/>
        <v>0</v>
      </c>
    </row>
    <row r="1610" spans="1:20" ht="22.2" hidden="1" customHeight="1">
      <c r="A1610" s="1444">
        <f>COUNTIF($C$12:C1610,"x")</f>
        <v>43</v>
      </c>
      <c r="B1610" s="1456" t="s">
        <v>937</v>
      </c>
      <c r="C1610" s="966" t="str">
        <f t="shared" si="297"/>
        <v xml:space="preserve"> </v>
      </c>
      <c r="D1610" s="1411">
        <f>ROUND((E1514+E1522)*1.03/1200,0)</f>
        <v>0</v>
      </c>
      <c r="E1610" s="976"/>
      <c r="F1610" s="988" t="str">
        <f>VLOOKUP($B1610,DG!A:D,DG!$C$2,)</f>
        <v>Ống nối dây cỡ 150mm2</v>
      </c>
      <c r="G1610" s="976" t="str">
        <f>VLOOKUP($B1610,DG!A:D,DG!$D$2,)</f>
        <v>cái</v>
      </c>
      <c r="H1610" s="1689">
        <f t="shared" si="298"/>
        <v>0</v>
      </c>
      <c r="I1610" s="1689"/>
      <c r="J1610" s="1689">
        <f t="shared" si="299"/>
        <v>0</v>
      </c>
      <c r="K1610" s="1689"/>
      <c r="L1610" s="1689"/>
      <c r="M1610" s="1689"/>
      <c r="N1610" s="1689"/>
      <c r="O1610" s="1689"/>
      <c r="P1610" s="1689">
        <f t="shared" si="295"/>
        <v>0</v>
      </c>
      <c r="Q1610" s="985"/>
      <c r="R1610" s="985"/>
      <c r="S1610" s="985"/>
      <c r="T1610" s="1858">
        <f t="shared" si="296"/>
        <v>0</v>
      </c>
    </row>
    <row r="1611" spans="1:20" ht="22.2" hidden="1" customHeight="1">
      <c r="A1611" s="1444">
        <f>COUNTIF($C$12:C1611,"x")</f>
        <v>43</v>
      </c>
      <c r="B1611" s="1456" t="s">
        <v>572</v>
      </c>
      <c r="C1611" s="966" t="str">
        <f t="shared" si="297"/>
        <v xml:space="preserve"> </v>
      </c>
      <c r="D1611" s="1411">
        <f>ROUND((E1513+E1521)*1.03/1200,0)</f>
        <v>0</v>
      </c>
      <c r="E1611" s="976"/>
      <c r="F1611" s="988" t="str">
        <f>VLOOKUP($B1611,DG!A:D,DG!$C$2,)</f>
        <v>Ống nối dây cỡ 185mm2</v>
      </c>
      <c r="G1611" s="976" t="str">
        <f>VLOOKUP($B1611,DG!A:D,DG!$D$2,)</f>
        <v>cái</v>
      </c>
      <c r="H1611" s="1689">
        <f t="shared" si="298"/>
        <v>0</v>
      </c>
      <c r="I1611" s="1689"/>
      <c r="J1611" s="1689">
        <f t="shared" si="299"/>
        <v>0</v>
      </c>
      <c r="K1611" s="1689"/>
      <c r="L1611" s="1689"/>
      <c r="M1611" s="1689"/>
      <c r="N1611" s="1689"/>
      <c r="O1611" s="1689"/>
      <c r="P1611" s="1689">
        <f t="shared" si="295"/>
        <v>0</v>
      </c>
      <c r="Q1611" s="985"/>
      <c r="R1611" s="985"/>
      <c r="S1611" s="985"/>
      <c r="T1611" s="1858">
        <f t="shared" si="296"/>
        <v>0</v>
      </c>
    </row>
    <row r="1612" spans="1:20" ht="22.2" hidden="1" customHeight="1">
      <c r="A1612" s="1444">
        <f>COUNTIF($C$12:C1612,"x")</f>
        <v>43</v>
      </c>
      <c r="B1612" s="1456" t="s">
        <v>571</v>
      </c>
      <c r="C1612" s="966" t="str">
        <f t="shared" si="297"/>
        <v xml:space="preserve"> </v>
      </c>
      <c r="D1612" s="1411">
        <f>ROUND((E1512+E1520)*1.03/1200,0)</f>
        <v>0</v>
      </c>
      <c r="E1612" s="976"/>
      <c r="F1612" s="988" t="str">
        <f>VLOOKUP($B1612,DG!A:D,DG!$C$2,)</f>
        <v>Ống nối dây cỡ 240mm2</v>
      </c>
      <c r="G1612" s="976" t="str">
        <f>VLOOKUP($B1612,DG!A:D,DG!$D$2,)</f>
        <v>cái</v>
      </c>
      <c r="H1612" s="1689">
        <f t="shared" si="298"/>
        <v>0</v>
      </c>
      <c r="I1612" s="1689"/>
      <c r="J1612" s="1689">
        <f t="shared" si="299"/>
        <v>0</v>
      </c>
      <c r="K1612" s="1689"/>
      <c r="L1612" s="1689"/>
      <c r="M1612" s="1689"/>
      <c r="N1612" s="1689"/>
      <c r="O1612" s="1689"/>
      <c r="P1612" s="1689">
        <f t="shared" si="295"/>
        <v>0</v>
      </c>
      <c r="Q1612" s="985"/>
      <c r="R1612" s="985"/>
      <c r="S1612" s="985"/>
      <c r="T1612" s="1858">
        <f t="shared" si="296"/>
        <v>0</v>
      </c>
    </row>
    <row r="1613" spans="1:20" ht="22.2" hidden="1" customHeight="1">
      <c r="A1613" s="1444">
        <f>COUNTIF($C$12:C1613,"x")</f>
        <v>43</v>
      </c>
      <c r="B1613" s="1455" t="s">
        <v>229</v>
      </c>
      <c r="C1613" s="966" t="str">
        <f t="shared" si="297"/>
        <v xml:space="preserve"> </v>
      </c>
      <c r="D1613" s="1411"/>
      <c r="E1613" s="976"/>
      <c r="F1613" s="988" t="str">
        <f>VLOOKUP($B1613,DG!A:D,DG!$C$2,)</f>
        <v xml:space="preserve">Dây nhôm buộc </v>
      </c>
      <c r="G1613" s="976" t="str">
        <f>VLOOKUP($B1613,DG!A:D,DG!$D$2,)</f>
        <v>kg</v>
      </c>
      <c r="H1613" s="1689">
        <f t="shared" si="298"/>
        <v>0</v>
      </c>
      <c r="I1613" s="1689"/>
      <c r="J1613" s="1689">
        <f t="shared" si="299"/>
        <v>0</v>
      </c>
      <c r="K1613" s="1689"/>
      <c r="L1613" s="1689"/>
      <c r="M1613" s="1689"/>
      <c r="N1613" s="1689"/>
      <c r="O1613" s="1689"/>
      <c r="P1613" s="1689">
        <f>H1613+Q1613-R1613</f>
        <v>0</v>
      </c>
      <c r="Q1613" s="985"/>
      <c r="R1613" s="985"/>
      <c r="S1613" s="985"/>
      <c r="T1613" s="1858">
        <f t="shared" si="296"/>
        <v>0</v>
      </c>
    </row>
    <row r="1614" spans="1:20" ht="22.2" hidden="1" customHeight="1">
      <c r="A1614" s="1444">
        <f>COUNTIF($C$12:C1614,"x")</f>
        <v>43</v>
      </c>
      <c r="B1614" s="1456" t="s">
        <v>1570</v>
      </c>
      <c r="C1614" s="966" t="str">
        <f t="shared" si="297"/>
        <v xml:space="preserve"> </v>
      </c>
      <c r="D1614" s="1411"/>
      <c r="E1614" s="976"/>
      <c r="F1614" s="988" t="str">
        <f>VLOOKUP($B1614,DG!A:D,DG!$C$2,)</f>
        <v>Biển số - Bảng nguy hiểm</v>
      </c>
      <c r="G1614" s="976" t="str">
        <f>VLOOKUP($B1614,DG!A:D,DG!$D$2,)</f>
        <v>cái</v>
      </c>
      <c r="H1614" s="1689">
        <f t="shared" si="298"/>
        <v>0</v>
      </c>
      <c r="I1614" s="1689"/>
      <c r="J1614" s="1689">
        <f t="shared" si="299"/>
        <v>0</v>
      </c>
      <c r="K1614" s="1689"/>
      <c r="L1614" s="1689"/>
      <c r="M1614" s="1689"/>
      <c r="N1614" s="1689"/>
      <c r="O1614" s="1689"/>
      <c r="P1614" s="1689">
        <f t="shared" si="295"/>
        <v>0</v>
      </c>
      <c r="Q1614" s="985"/>
      <c r="R1614" s="985"/>
      <c r="S1614" s="985"/>
      <c r="T1614" s="1858">
        <f t="shared" si="296"/>
        <v>0</v>
      </c>
    </row>
    <row r="1615" spans="1:20" ht="22.2" hidden="1" customHeight="1">
      <c r="A1615" s="1444">
        <f>COUNTIF($C$12:C1615,"x")</f>
        <v>43</v>
      </c>
      <c r="B1615" s="1456" t="s">
        <v>1269</v>
      </c>
      <c r="C1615" s="966" t="str">
        <f t="shared" si="297"/>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5"/>
        <v>0</v>
      </c>
      <c r="Q1615" s="985"/>
      <c r="R1615" s="985"/>
      <c r="S1615" s="985"/>
      <c r="T1615" s="1858">
        <f t="shared" si="296"/>
        <v>0</v>
      </c>
    </row>
    <row r="1616" spans="1:20" ht="22.2" hidden="1" customHeight="1">
      <c r="A1616" s="1444">
        <f>COUNTIF($C$12:C1616,"x")</f>
        <v>43</v>
      </c>
      <c r="B1616" s="1456" t="s">
        <v>1414</v>
      </c>
      <c r="C1616" s="966" t="str">
        <f t="shared" si="297"/>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5"/>
        <v>0</v>
      </c>
      <c r="Q1616" s="985"/>
      <c r="R1616" s="985"/>
      <c r="S1616" s="985"/>
      <c r="T1616" s="1858">
        <f t="shared" si="296"/>
        <v>0</v>
      </c>
    </row>
    <row r="1617" spans="1:20" ht="22.2" hidden="1" customHeight="1">
      <c r="A1617" s="1444">
        <f>COUNTIF($C$12:C1617,"x")</f>
        <v>43</v>
      </c>
      <c r="B1617" s="1456" t="s">
        <v>1524</v>
      </c>
      <c r="C1617" s="966" t="str">
        <f t="shared" si="297"/>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5"/>
        <v>0</v>
      </c>
      <c r="Q1617" s="985"/>
      <c r="R1617" s="985"/>
      <c r="S1617" s="985"/>
      <c r="T1617" s="1858">
        <f t="shared" si="296"/>
        <v>0</v>
      </c>
    </row>
    <row r="1618" spans="1:20" ht="22.2" hidden="1" customHeight="1">
      <c r="A1618" s="1444">
        <f>COUNTIF($C$12:C1618,"x")</f>
        <v>43</v>
      </c>
      <c r="B1618" s="1456" t="s">
        <v>139</v>
      </c>
      <c r="C1618" s="966" t="str">
        <f t="shared" si="297"/>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5"/>
        <v>0</v>
      </c>
      <c r="Q1618" s="985"/>
      <c r="R1618" s="985"/>
      <c r="S1618" s="985"/>
      <c r="T1618" s="1858">
        <f t="shared" si="296"/>
        <v>0</v>
      </c>
    </row>
    <row r="1619" spans="1:20" ht="22.2" hidden="1" customHeight="1">
      <c r="A1619" s="1444">
        <f>COUNTIF($C$12:C1619,"x")</f>
        <v>43</v>
      </c>
      <c r="B1619" s="1456" t="s">
        <v>791</v>
      </c>
      <c r="C1619" s="966" t="str">
        <f t="shared" si="297"/>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5"/>
        <v>0</v>
      </c>
      <c r="Q1619" s="985"/>
      <c r="R1619" s="985"/>
      <c r="S1619" s="985"/>
      <c r="T1619" s="1858">
        <f t="shared" si="296"/>
        <v>0</v>
      </c>
    </row>
    <row r="1620" spans="1:20" ht="22.2" hidden="1" customHeight="1">
      <c r="A1620" s="1444">
        <f>COUNTIF($C$12:C1620,"x")</f>
        <v>43</v>
      </c>
      <c r="B1620" s="1455" t="s">
        <v>366</v>
      </c>
      <c r="C1620" s="966" t="str">
        <f t="shared" si="297"/>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5"/>
        <v>0</v>
      </c>
      <c r="Q1620" s="985"/>
      <c r="R1620" s="985"/>
      <c r="S1620" s="985"/>
      <c r="T1620" s="1858">
        <f t="shared" si="296"/>
        <v>0</v>
      </c>
    </row>
    <row r="1621" spans="1:20" ht="22.2" hidden="1" customHeight="1">
      <c r="A1621" s="1444">
        <f>COUNTIF($C$12:C1621,"x")</f>
        <v>43</v>
      </c>
      <c r="B1621" s="1456" t="s">
        <v>140</v>
      </c>
      <c r="C1621" s="966" t="str">
        <f t="shared" si="297"/>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5"/>
        <v>0</v>
      </c>
      <c r="Q1621" s="985"/>
      <c r="R1621" s="985"/>
      <c r="S1621" s="985"/>
      <c r="T1621" s="1858">
        <f t="shared" si="296"/>
        <v>0</v>
      </c>
    </row>
    <row r="1622" spans="1:20" ht="22.2" hidden="1" customHeight="1">
      <c r="A1622" s="1444">
        <f>COUNTIF($C$12:C1622,"x")</f>
        <v>43</v>
      </c>
      <c r="B1622" s="1456" t="s">
        <v>711</v>
      </c>
      <c r="C1622" s="966" t="str">
        <f t="shared" si="297"/>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5"/>
        <v>0</v>
      </c>
      <c r="Q1622" s="985"/>
      <c r="R1622" s="985"/>
      <c r="S1622" s="985"/>
      <c r="T1622" s="1858">
        <f t="shared" si="296"/>
        <v>0</v>
      </c>
    </row>
    <row r="1623" spans="1:20" ht="22.2" hidden="1" customHeight="1">
      <c r="A1623" s="1444">
        <f>COUNTIF($C$12:C1623,"x")</f>
        <v>43</v>
      </c>
      <c r="B1623" s="1456" t="s">
        <v>79</v>
      </c>
      <c r="C1623" s="966" t="str">
        <f t="shared" si="297"/>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5"/>
        <v>0</v>
      </c>
      <c r="Q1623" s="985"/>
      <c r="R1623" s="985"/>
      <c r="S1623" s="985"/>
      <c r="T1623" s="1858">
        <f t="shared" si="296"/>
        <v>0</v>
      </c>
    </row>
    <row r="1624" spans="1:20" ht="22.2" hidden="1" customHeight="1">
      <c r="A1624" s="1444">
        <f>COUNTIF($C$12:C1624,"x")</f>
        <v>43</v>
      </c>
      <c r="B1624" s="1456" t="s">
        <v>1509</v>
      </c>
      <c r="C1624" s="966" t="str">
        <f t="shared" si="297"/>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5"/>
        <v>0</v>
      </c>
      <c r="Q1624" s="985"/>
      <c r="R1624" s="985"/>
      <c r="S1624" s="985"/>
      <c r="T1624" s="1858">
        <f t="shared" si="296"/>
        <v>0</v>
      </c>
    </row>
    <row r="1625" spans="1:20" ht="22.2" hidden="1" customHeight="1">
      <c r="A1625" s="1444">
        <f>COUNTIF($C$12:C1625,"x")</f>
        <v>43</v>
      </c>
      <c r="B1625" s="1456" t="s">
        <v>1174</v>
      </c>
      <c r="C1625" s="966" t="str">
        <f t="shared" si="297"/>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5"/>
        <v>0</v>
      </c>
      <c r="Q1625" s="985"/>
      <c r="R1625" s="985"/>
      <c r="S1625" s="985"/>
      <c r="T1625" s="1858">
        <f t="shared" si="296"/>
        <v>0</v>
      </c>
    </row>
    <row r="1626" spans="1:20" ht="22.2" hidden="1" customHeight="1">
      <c r="A1626" s="1444">
        <f>COUNTIF($C$12:C1626,"x")</f>
        <v>43</v>
      </c>
      <c r="B1626" s="1456" t="s">
        <v>924</v>
      </c>
      <c r="C1626" s="966" t="str">
        <f t="shared" si="297"/>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5"/>
        <v>0</v>
      </c>
      <c r="Q1626" s="985"/>
      <c r="R1626" s="985"/>
      <c r="S1626" s="985"/>
      <c r="T1626" s="1858">
        <f t="shared" si="296"/>
        <v>0</v>
      </c>
    </row>
    <row r="1627" spans="1:20" ht="22.2" hidden="1" customHeight="1">
      <c r="A1627" s="1444">
        <f>COUNTIF($C$12:C1627,"x")</f>
        <v>43</v>
      </c>
      <c r="B1627" s="1456" t="s">
        <v>925</v>
      </c>
      <c r="C1627" s="966" t="str">
        <f t="shared" si="297"/>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5"/>
        <v>0</v>
      </c>
      <c r="Q1627" s="985"/>
      <c r="R1627" s="985"/>
      <c r="S1627" s="985"/>
      <c r="T1627" s="1858">
        <f t="shared" si="296"/>
        <v>0</v>
      </c>
    </row>
    <row r="1628" spans="1:20" ht="22.2" hidden="1" customHeight="1">
      <c r="A1628" s="1444">
        <f>COUNTIF($C$12:C1628,"x")</f>
        <v>43</v>
      </c>
      <c r="B1628" s="1456" t="s">
        <v>1441</v>
      </c>
      <c r="C1628" s="966" t="str">
        <f t="shared" si="297"/>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5"/>
        <v>0</v>
      </c>
      <c r="Q1628" s="985"/>
      <c r="R1628" s="985"/>
      <c r="S1628" s="985"/>
      <c r="T1628" s="1858">
        <f t="shared" si="296"/>
        <v>0</v>
      </c>
    </row>
    <row r="1629" spans="1:20" ht="22.2" hidden="1" customHeight="1">
      <c r="A1629" s="1444">
        <f>COUNTIF($C$12:C1629,"x")</f>
        <v>43</v>
      </c>
      <c r="B1629" s="1456" t="s">
        <v>349</v>
      </c>
      <c r="C1629" s="966" t="str">
        <f t="shared" si="297"/>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5"/>
        <v>0</v>
      </c>
      <c r="Q1629" s="990"/>
      <c r="R1629" s="990"/>
      <c r="S1629" s="990"/>
      <c r="T1629" s="1858">
        <f t="shared" si="296"/>
        <v>0</v>
      </c>
    </row>
    <row r="1630" spans="1:20" ht="22.2" hidden="1" customHeight="1">
      <c r="A1630" s="1444">
        <f>COUNTIF($C$12:C1630,"x")</f>
        <v>43</v>
      </c>
      <c r="B1630" s="1456" t="s">
        <v>350</v>
      </c>
      <c r="C1630" s="966" t="str">
        <f t="shared" si="297"/>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5"/>
        <v>0</v>
      </c>
      <c r="Q1630" s="990"/>
      <c r="R1630" s="990"/>
      <c r="S1630" s="990"/>
      <c r="T1630" s="1858">
        <f t="shared" si="296"/>
        <v>0</v>
      </c>
    </row>
    <row r="1631" spans="1:20" ht="22.2" hidden="1" customHeight="1">
      <c r="A1631" s="1444">
        <f>COUNTIF($C$12:C1631,"x")</f>
        <v>43</v>
      </c>
      <c r="B1631" s="1456" t="s">
        <v>1507</v>
      </c>
      <c r="C1631" s="966" t="str">
        <f t="shared" si="297"/>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5"/>
        <v>0</v>
      </c>
      <c r="Q1631" s="990"/>
      <c r="R1631" s="990"/>
      <c r="S1631" s="990"/>
      <c r="T1631" s="1858">
        <f t="shared" si="296"/>
        <v>0</v>
      </c>
    </row>
    <row r="1632" spans="1:20" ht="22.2" hidden="1" customHeight="1">
      <c r="A1632" s="1444">
        <f>COUNTIF($C$12:C1632,"x")</f>
        <v>43</v>
      </c>
      <c r="B1632" s="1455" t="s">
        <v>1507</v>
      </c>
      <c r="C1632" s="966" t="str">
        <f t="shared" si="297"/>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5"/>
        <v>0</v>
      </c>
      <c r="Q1632" s="990"/>
      <c r="R1632" s="990"/>
      <c r="S1632" s="990"/>
      <c r="T1632" s="1858">
        <f t="shared" si="296"/>
        <v>0</v>
      </c>
    </row>
    <row r="1633" spans="1:20" ht="22.2" hidden="1" customHeight="1">
      <c r="A1633" s="1444">
        <f>COUNTIF($C$12:C1633,"x")</f>
        <v>43</v>
      </c>
      <c r="B1633" s="1455" t="s">
        <v>1565</v>
      </c>
      <c r="C1633" s="966" t="str">
        <f t="shared" si="297"/>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5"/>
        <v>0</v>
      </c>
      <c r="Q1633" s="990"/>
      <c r="R1633" s="990"/>
      <c r="S1633" s="990"/>
      <c r="T1633" s="1858">
        <f t="shared" si="296"/>
        <v>0</v>
      </c>
    </row>
    <row r="1634" spans="1:20" ht="22.2" hidden="1" customHeight="1">
      <c r="A1634" s="1444">
        <f>COUNTIF($C$12:C1634,"x")</f>
        <v>43</v>
      </c>
      <c r="B1634" s="1456" t="s">
        <v>351</v>
      </c>
      <c r="C1634" s="966" t="str">
        <f t="shared" si="297"/>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5"/>
        <v>0</v>
      </c>
      <c r="Q1634" s="985"/>
      <c r="R1634" s="985"/>
      <c r="S1634" s="985"/>
      <c r="T1634" s="1858">
        <f t="shared" si="296"/>
        <v>0</v>
      </c>
    </row>
    <row r="1635" spans="1:20" ht="22.2" hidden="1" customHeight="1">
      <c r="A1635" s="1444">
        <f>COUNTIF($C$12:C1635,"x")</f>
        <v>43</v>
      </c>
      <c r="B1635" s="1456" t="s">
        <v>452</v>
      </c>
      <c r="C1635" s="966" t="str">
        <f t="shared" si="297"/>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5"/>
        <v>0</v>
      </c>
      <c r="Q1635" s="985"/>
      <c r="R1635" s="985"/>
      <c r="S1635" s="985"/>
      <c r="T1635" s="1858">
        <f t="shared" si="296"/>
        <v>0</v>
      </c>
    </row>
    <row r="1636" spans="1:20" ht="22.2" hidden="1" customHeight="1">
      <c r="A1636" s="1444">
        <f>COUNTIF($C$12:C1636,"x")</f>
        <v>43</v>
      </c>
      <c r="B1636" s="1456" t="s">
        <v>831</v>
      </c>
      <c r="C1636" s="966" t="str">
        <f t="shared" si="297"/>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5"/>
        <v>0</v>
      </c>
      <c r="Q1636" s="985"/>
      <c r="R1636" s="985"/>
      <c r="S1636" s="985"/>
      <c r="T1636" s="1858">
        <f t="shared" si="296"/>
        <v>0</v>
      </c>
    </row>
    <row r="1637" spans="1:20" ht="22.2" hidden="1" customHeight="1">
      <c r="A1637" s="1444">
        <f>COUNTIF($C$12:C1637,"x")</f>
        <v>43</v>
      </c>
      <c r="B1637" s="1456" t="s">
        <v>831</v>
      </c>
      <c r="C1637" s="966" t="str">
        <f t="shared" si="297"/>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5"/>
        <v>0</v>
      </c>
      <c r="Q1637" s="985"/>
      <c r="R1637" s="985"/>
      <c r="S1637" s="985"/>
      <c r="T1637" s="1858">
        <f t="shared" si="296"/>
        <v>0</v>
      </c>
    </row>
    <row r="1638" spans="1:20" ht="22.2" hidden="1" customHeight="1">
      <c r="A1638" s="1444">
        <f>COUNTIF($C$12:C1638,"x")</f>
        <v>43</v>
      </c>
      <c r="B1638" s="1456" t="s">
        <v>1373</v>
      </c>
      <c r="C1638" s="966" t="str">
        <f t="shared" si="297"/>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5"/>
        <v>0</v>
      </c>
      <c r="Q1638" s="985"/>
      <c r="R1638" s="985"/>
      <c r="S1638" s="985"/>
      <c r="T1638" s="1858">
        <f t="shared" si="296"/>
        <v>0</v>
      </c>
    </row>
    <row r="1639" spans="1:20" ht="22.2" hidden="1" customHeight="1">
      <c r="A1639" s="1444">
        <f>COUNTIF($C$12:C1639,"x")</f>
        <v>43</v>
      </c>
      <c r="B1639" s="1456" t="s">
        <v>1373</v>
      </c>
      <c r="C1639" s="966" t="str">
        <f t="shared" si="297"/>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5"/>
        <v>0</v>
      </c>
      <c r="Q1639" s="985"/>
      <c r="R1639" s="985"/>
      <c r="S1639" s="985"/>
      <c r="T1639" s="1858">
        <f t="shared" si="296"/>
        <v>0</v>
      </c>
    </row>
    <row r="1640" spans="1:20" ht="22.2" hidden="1" customHeight="1">
      <c r="A1640" s="1444">
        <f>COUNTIF($C$12:C1640,"x")</f>
        <v>43</v>
      </c>
      <c r="B1640" s="1456" t="s">
        <v>1399</v>
      </c>
      <c r="C1640" s="966" t="str">
        <f t="shared" si="297"/>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5"/>
        <v>0</v>
      </c>
      <c r="Q1640" s="985"/>
      <c r="R1640" s="985"/>
      <c r="S1640" s="985"/>
      <c r="T1640" s="1858">
        <f t="shared" si="296"/>
        <v>0</v>
      </c>
    </row>
    <row r="1641" spans="1:20" ht="22.2" hidden="1" customHeight="1">
      <c r="A1641" s="1444">
        <f>COUNTIF($C$12:C1641,"x")</f>
        <v>43</v>
      </c>
      <c r="B1641" s="1456" t="s">
        <v>1399</v>
      </c>
      <c r="C1641" s="966" t="str">
        <f t="shared" si="297"/>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300">H1641+Q1641-R1641</f>
        <v>0</v>
      </c>
      <c r="Q1641" s="985"/>
      <c r="R1641" s="985"/>
      <c r="S1641" s="985"/>
      <c r="T1641" s="1858">
        <f t="shared" si="296"/>
        <v>0</v>
      </c>
    </row>
    <row r="1642" spans="1:20" ht="22.2" hidden="1" customHeight="1">
      <c r="A1642" s="1444">
        <f>COUNTIF($C$12:C1642,"x")</f>
        <v>43</v>
      </c>
      <c r="B1642" s="1456" t="s">
        <v>353</v>
      </c>
      <c r="C1642" s="966" t="str">
        <f t="shared" si="297"/>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300"/>
        <v>0</v>
      </c>
      <c r="Q1642" s="990"/>
      <c r="R1642" s="990"/>
      <c r="S1642" s="990"/>
      <c r="T1642" s="1858">
        <f t="shared" si="296"/>
        <v>0</v>
      </c>
    </row>
    <row r="1643" spans="1:20" ht="22.2" hidden="1" customHeight="1">
      <c r="A1643" s="1444">
        <f>COUNTIF($C$12:C1643,"x")</f>
        <v>43</v>
      </c>
      <c r="B1643" s="1456" t="s">
        <v>354</v>
      </c>
      <c r="C1643" s="966" t="str">
        <f t="shared" si="297"/>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300"/>
        <v>0</v>
      </c>
      <c r="Q1643" s="990"/>
      <c r="R1643" s="990"/>
      <c r="S1643" s="990"/>
      <c r="T1643" s="1858">
        <f t="shared" si="296"/>
        <v>0</v>
      </c>
    </row>
    <row r="1644" spans="1:20" ht="22.2" hidden="1" customHeight="1">
      <c r="A1644" s="1444">
        <f>COUNTIF($C$12:C1644,"x")</f>
        <v>43</v>
      </c>
      <c r="B1644" s="1455" t="s">
        <v>355</v>
      </c>
      <c r="C1644" s="966" t="str">
        <f t="shared" si="297"/>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300"/>
        <v>0</v>
      </c>
      <c r="Q1644" s="990"/>
      <c r="R1644" s="990"/>
      <c r="S1644" s="990"/>
      <c r="T1644" s="1858">
        <f t="shared" si="296"/>
        <v>0</v>
      </c>
    </row>
    <row r="1645" spans="1:20" ht="22.2" hidden="1" customHeight="1">
      <c r="A1645" s="1444">
        <f>COUNTIF($C$12:C1645,"x")</f>
        <v>43</v>
      </c>
      <c r="B1645" s="1455" t="s">
        <v>1902</v>
      </c>
      <c r="C1645" s="966" t="str">
        <f t="shared" si="297"/>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300"/>
        <v>0</v>
      </c>
      <c r="Q1645" s="990"/>
      <c r="R1645" s="990"/>
      <c r="S1645" s="990"/>
      <c r="T1645" s="1858">
        <f t="shared" si="296"/>
        <v>0</v>
      </c>
    </row>
    <row r="1646" spans="1:20" ht="22.2" hidden="1" customHeight="1">
      <c r="A1646" s="1444">
        <f>COUNTIF($C$12:C1646,"x")</f>
        <v>43</v>
      </c>
      <c r="B1646" s="1455" t="s">
        <v>356</v>
      </c>
      <c r="C1646" s="966" t="str">
        <f t="shared" si="297"/>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300"/>
        <v>0</v>
      </c>
      <c r="Q1646" s="990"/>
      <c r="R1646" s="990"/>
      <c r="S1646" s="990"/>
      <c r="T1646" s="1858">
        <f t="shared" si="296"/>
        <v>0</v>
      </c>
    </row>
    <row r="1647" spans="1:20" ht="22.2" hidden="1" customHeight="1">
      <c r="A1647" s="1444">
        <f>COUNTIF($C$12:C1647,"x")</f>
        <v>43</v>
      </c>
      <c r="B1647" s="1455" t="s">
        <v>357</v>
      </c>
      <c r="C1647" s="966" t="str">
        <f t="shared" si="297"/>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300"/>
        <v>0</v>
      </c>
      <c r="Q1647" s="990"/>
      <c r="R1647" s="990"/>
      <c r="S1647" s="990"/>
      <c r="T1647" s="1858">
        <f t="shared" si="296"/>
        <v>0</v>
      </c>
    </row>
    <row r="1648" spans="1:20" ht="22.2" hidden="1" customHeight="1">
      <c r="A1648" s="1444">
        <f>COUNTIF($C$12:C1648,"x")</f>
        <v>43</v>
      </c>
      <c r="B1648" s="1472" t="s">
        <v>606</v>
      </c>
      <c r="C1648" s="966" t="str">
        <f t="shared" si="297"/>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300"/>
        <v>0</v>
      </c>
      <c r="Q1648" s="990"/>
      <c r="R1648" s="990"/>
      <c r="S1648" s="990"/>
      <c r="T1648" s="1858">
        <f t="shared" si="296"/>
        <v>0</v>
      </c>
    </row>
    <row r="1649" spans="1:20" ht="22.2" hidden="1" customHeight="1">
      <c r="A1649" s="1444">
        <f>COUNTIF($C$12:C1649,"x")</f>
        <v>43</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6"/>
        <v>0</v>
      </c>
    </row>
    <row r="1650" spans="1:20" ht="22.2" hidden="1" customHeight="1">
      <c r="A1650" s="1444">
        <f>COUNTIF($C$12:C1650,"x")</f>
        <v>43</v>
      </c>
      <c r="B1650" s="1451" t="s">
        <v>88</v>
      </c>
      <c r="C1650" s="966" t="str">
        <f t="shared" si="297"/>
        <v xml:space="preserve"> </v>
      </c>
      <c r="D1650" s="1414">
        <f>ROUND(E1650*1.02*0.195,2)</f>
        <v>0</v>
      </c>
      <c r="E1650" s="993">
        <f>'pp3p2m '!C90</f>
        <v>0</v>
      </c>
      <c r="F1650" s="988" t="str">
        <f>VLOOKUP($B1650,DG!A:D,DG!$C$2,)</f>
        <v>Cáp nhôm lõi thép AC-50/8</v>
      </c>
      <c r="G1650" s="976" t="str">
        <f>VLOOKUP($B1650,DG!A:D,DG!$D$2,)</f>
        <v>kg</v>
      </c>
      <c r="H1650" s="1689">
        <f t="shared" ref="H1650:H1681" si="301">$D1650</f>
        <v>0</v>
      </c>
      <c r="I1650" s="1689">
        <f t="shared" ref="I1650:I1681" si="302">D1650</f>
        <v>0</v>
      </c>
      <c r="J1650" s="1689"/>
      <c r="K1650" s="1689"/>
      <c r="L1650" s="1689"/>
      <c r="M1650" s="1689"/>
      <c r="N1650" s="1689"/>
      <c r="O1650" s="1689"/>
      <c r="P1650" s="1689">
        <f t="shared" si="300"/>
        <v>0</v>
      </c>
      <c r="Q1650" s="985"/>
      <c r="R1650" s="985"/>
      <c r="S1650" s="985"/>
      <c r="T1650" s="1858">
        <f t="shared" si="296"/>
        <v>0</v>
      </c>
    </row>
    <row r="1651" spans="1:20" ht="22.2" hidden="1" customHeight="1">
      <c r="A1651" s="1444">
        <f>COUNTIF($C$12:C1651,"x")</f>
        <v>43</v>
      </c>
      <c r="B1651" s="1451" t="s">
        <v>1239</v>
      </c>
      <c r="C1651" s="966" t="str">
        <f t="shared" si="297"/>
        <v xml:space="preserve"> </v>
      </c>
      <c r="D1651" s="1414">
        <f>ROUND(E1651*1.02*0.276,2)</f>
        <v>0</v>
      </c>
      <c r="E1651" s="993">
        <f>'pp3p2m '!C89</f>
        <v>0</v>
      </c>
      <c r="F1651" s="988" t="str">
        <f>VLOOKUP($B1651,DG!A:D,DG!$C$2,)</f>
        <v>Cáp nhôm lõi thép AC-70/11</v>
      </c>
      <c r="G1651" s="976" t="str">
        <f>VLOOKUP($B1651,DG!A:D,DG!$D$2,)</f>
        <v>kg</v>
      </c>
      <c r="H1651" s="1689">
        <f t="shared" si="301"/>
        <v>0</v>
      </c>
      <c r="I1651" s="1689">
        <f t="shared" si="302"/>
        <v>0</v>
      </c>
      <c r="J1651" s="1689"/>
      <c r="K1651" s="1689"/>
      <c r="L1651" s="1689"/>
      <c r="M1651" s="1689"/>
      <c r="N1651" s="1689"/>
      <c r="O1651" s="1689"/>
      <c r="P1651" s="1689">
        <f t="shared" si="300"/>
        <v>0</v>
      </c>
      <c r="Q1651" s="985"/>
      <c r="R1651" s="985"/>
      <c r="S1651" s="985"/>
      <c r="T1651" s="1858">
        <f t="shared" si="296"/>
        <v>0</v>
      </c>
    </row>
    <row r="1652" spans="1:20" ht="22.2" hidden="1" customHeight="1">
      <c r="A1652" s="1444">
        <f>COUNTIF($C$12:C1652,"x")</f>
        <v>43</v>
      </c>
      <c r="B1652" s="1451" t="s">
        <v>269</v>
      </c>
      <c r="C1652" s="966" t="str">
        <f t="shared" si="297"/>
        <v xml:space="preserve"> </v>
      </c>
      <c r="D1652" s="1414">
        <f>ROUND(E1652*1.02*0.385,2)</f>
        <v>0</v>
      </c>
      <c r="E1652" s="993">
        <f>'pp3p2m '!C88</f>
        <v>0</v>
      </c>
      <c r="F1652" s="988" t="str">
        <f>VLOOKUP($B1652,DG!A:D,DG!$C$2,)</f>
        <v>Cáp nhôm lõi thép AC-95/16</v>
      </c>
      <c r="G1652" s="976" t="str">
        <f>VLOOKUP($B1652,DG!A:D,DG!$D$2,)</f>
        <v>kg</v>
      </c>
      <c r="H1652" s="1689">
        <f t="shared" si="301"/>
        <v>0</v>
      </c>
      <c r="I1652" s="1689">
        <f t="shared" si="302"/>
        <v>0</v>
      </c>
      <c r="J1652" s="1689"/>
      <c r="K1652" s="1689"/>
      <c r="L1652" s="1689"/>
      <c r="M1652" s="1689"/>
      <c r="N1652" s="1689"/>
      <c r="O1652" s="1689"/>
      <c r="P1652" s="1689">
        <f t="shared" si="300"/>
        <v>0</v>
      </c>
      <c r="Q1652" s="985"/>
      <c r="R1652" s="985"/>
      <c r="S1652" s="985"/>
      <c r="T1652" s="1858">
        <f t="shared" si="296"/>
        <v>0</v>
      </c>
    </row>
    <row r="1653" spans="1:20" ht="22.2" hidden="1" customHeight="1">
      <c r="A1653" s="1444">
        <f>COUNTIF($C$12:C1653,"x")</f>
        <v>43</v>
      </c>
      <c r="B1653" s="1451" t="s">
        <v>539</v>
      </c>
      <c r="C1653" s="966" t="str">
        <f t="shared" si="297"/>
        <v xml:space="preserve"> </v>
      </c>
      <c r="D1653" s="1414">
        <f>ROUND(E1653*1.02*0.471,2)</f>
        <v>0</v>
      </c>
      <c r="E1653" s="993">
        <f>'pp3p2m '!C87</f>
        <v>0</v>
      </c>
      <c r="F1653" s="988" t="str">
        <f>VLOOKUP($B1653,DG!A:D,DG!$C$2,)</f>
        <v>Cáp nhôm lõi thép AC-120/19</v>
      </c>
      <c r="G1653" s="976" t="str">
        <f>VLOOKUP($B1653,DG!A:D,DG!$D$2,)</f>
        <v>kg</v>
      </c>
      <c r="H1653" s="1689">
        <f t="shared" si="301"/>
        <v>0</v>
      </c>
      <c r="I1653" s="1689">
        <f t="shared" si="302"/>
        <v>0</v>
      </c>
      <c r="J1653" s="1689"/>
      <c r="K1653" s="1689"/>
      <c r="L1653" s="1689"/>
      <c r="M1653" s="1689"/>
      <c r="N1653" s="1689"/>
      <c r="O1653" s="1689"/>
      <c r="P1653" s="1689">
        <f t="shared" si="300"/>
        <v>0</v>
      </c>
      <c r="Q1653" s="985"/>
      <c r="R1653" s="985"/>
      <c r="S1653" s="985"/>
      <c r="T1653" s="1858">
        <f t="shared" si="296"/>
        <v>0</v>
      </c>
    </row>
    <row r="1654" spans="1:20" ht="22.2" hidden="1" customHeight="1">
      <c r="A1654" s="1444">
        <f>COUNTIF($C$12:C1654,"x")</f>
        <v>43</v>
      </c>
      <c r="B1654" s="1451" t="s">
        <v>841</v>
      </c>
      <c r="C1654" s="966" t="str">
        <f t="shared" si="297"/>
        <v xml:space="preserve"> </v>
      </c>
      <c r="D1654" s="1414">
        <f>ROUND(E1654*1.02*0.599,2)</f>
        <v>0</v>
      </c>
      <c r="E1654" s="993">
        <f>'pp3p2m '!C86</f>
        <v>0</v>
      </c>
      <c r="F1654" s="988" t="str">
        <f>VLOOKUP($B1654,DG!A:D,DG!$C$2,)</f>
        <v>Cáp nhôm lõi thép AC-150/24</v>
      </c>
      <c r="G1654" s="976" t="str">
        <f>VLOOKUP($B1654,DG!A:D,DG!$D$2,)</f>
        <v>kg</v>
      </c>
      <c r="H1654" s="1689">
        <f t="shared" si="301"/>
        <v>0</v>
      </c>
      <c r="I1654" s="1689">
        <f t="shared" si="302"/>
        <v>0</v>
      </c>
      <c r="J1654" s="1689"/>
      <c r="K1654" s="1689"/>
      <c r="L1654" s="1689"/>
      <c r="M1654" s="1689"/>
      <c r="N1654" s="1689"/>
      <c r="O1654" s="1689"/>
      <c r="P1654" s="1689">
        <f t="shared" si="300"/>
        <v>0</v>
      </c>
      <c r="Q1654" s="985"/>
      <c r="R1654" s="985"/>
      <c r="S1654" s="985"/>
      <c r="T1654" s="1858">
        <f t="shared" si="296"/>
        <v>0</v>
      </c>
    </row>
    <row r="1655" spans="1:20" ht="22.2" hidden="1" customHeight="1">
      <c r="A1655" s="1444">
        <f>COUNTIF($C$12:C1655,"x")</f>
        <v>43</v>
      </c>
      <c r="B1655" s="1451" t="s">
        <v>729</v>
      </c>
      <c r="C1655" s="966" t="str">
        <f t="shared" si="297"/>
        <v xml:space="preserve"> </v>
      </c>
      <c r="D1655" s="1414">
        <f>ROUND(E1655*1.02*0.728,2)</f>
        <v>0</v>
      </c>
      <c r="E1655" s="993">
        <f>'pp3p2m '!C85</f>
        <v>0</v>
      </c>
      <c r="F1655" s="988" t="str">
        <f>VLOOKUP($B1655,DG!A:D,DG!$C$2,)</f>
        <v>Cáp nhôm lõi thép AC-185/29</v>
      </c>
      <c r="G1655" s="976" t="str">
        <f>VLOOKUP($B1655,DG!A:D,DG!$D$2,)</f>
        <v>kg</v>
      </c>
      <c r="H1655" s="1689">
        <f t="shared" si="301"/>
        <v>0</v>
      </c>
      <c r="I1655" s="1689">
        <f t="shared" si="302"/>
        <v>0</v>
      </c>
      <c r="J1655" s="1689"/>
      <c r="K1655" s="1689"/>
      <c r="L1655" s="1689"/>
      <c r="M1655" s="1689"/>
      <c r="N1655" s="1689"/>
      <c r="O1655" s="1689"/>
      <c r="P1655" s="1689">
        <f t="shared" si="300"/>
        <v>0</v>
      </c>
      <c r="Q1655" s="985"/>
      <c r="R1655" s="985"/>
      <c r="S1655" s="985"/>
      <c r="T1655" s="1858">
        <f t="shared" si="296"/>
        <v>0</v>
      </c>
    </row>
    <row r="1656" spans="1:20" ht="22.2" hidden="1" customHeight="1">
      <c r="A1656" s="1444">
        <f>COUNTIF($C$12:C1656,"x")</f>
        <v>43</v>
      </c>
      <c r="B1656" s="1451" t="s">
        <v>728</v>
      </c>
      <c r="C1656" s="966" t="str">
        <f t="shared" si="297"/>
        <v xml:space="preserve"> </v>
      </c>
      <c r="D1656" s="1414">
        <f>ROUND(E1656*1.02*0.921,2)</f>
        <v>0</v>
      </c>
      <c r="E1656" s="993">
        <f>'pp3p2m '!C84</f>
        <v>0</v>
      </c>
      <c r="F1656" s="988" t="str">
        <f>VLOOKUP($B1656,DG!A:D,DG!$C$2,)</f>
        <v>Cáp nhôm lõi thép AC-240/39</v>
      </c>
      <c r="G1656" s="976" t="str">
        <f>VLOOKUP($B1656,DG!A:D,DG!$D$2,)</f>
        <v>kg</v>
      </c>
      <c r="H1656" s="1689">
        <f t="shared" si="301"/>
        <v>0</v>
      </c>
      <c r="I1656" s="1689">
        <f t="shared" si="302"/>
        <v>0</v>
      </c>
      <c r="J1656" s="1689"/>
      <c r="K1656" s="1689"/>
      <c r="L1656" s="1689"/>
      <c r="M1656" s="1689"/>
      <c r="N1656" s="1689"/>
      <c r="O1656" s="1689"/>
      <c r="P1656" s="1689">
        <f t="shared" si="300"/>
        <v>0</v>
      </c>
      <c r="Q1656" s="985"/>
      <c r="R1656" s="985"/>
      <c r="S1656" s="985"/>
      <c r="T1656" s="1858">
        <f t="shared" si="296"/>
        <v>0</v>
      </c>
    </row>
    <row r="1657" spans="1:20" ht="22.2" hidden="1" customHeight="1">
      <c r="A1657" s="1444">
        <f>COUNTIF($C$12:C1657,"x")</f>
        <v>43</v>
      </c>
      <c r="B1657" s="1451" t="s">
        <v>1794</v>
      </c>
      <c r="C1657" s="966" t="str">
        <f t="shared" si="297"/>
        <v xml:space="preserve"> </v>
      </c>
      <c r="D1657" s="1411">
        <f>ROUND(E1657*1.03,2)</f>
        <v>0</v>
      </c>
      <c r="E1657" s="993">
        <f>'pp3p2m '!C98</f>
        <v>0</v>
      </c>
      <c r="F1657" s="988" t="str">
        <f>VLOOKUP($B1657,DG!A:D,DG!$C$2,)</f>
        <v>Cáp 24KV A/XLPE/PVC 240mm2</v>
      </c>
      <c r="G1657" s="976" t="str">
        <f>VLOOKUP($B1657,DG!A:D,DG!$D$2,)</f>
        <v>mét</v>
      </c>
      <c r="H1657" s="1689">
        <f t="shared" si="301"/>
        <v>0</v>
      </c>
      <c r="I1657" s="1689">
        <f t="shared" si="302"/>
        <v>0</v>
      </c>
      <c r="J1657" s="1689"/>
      <c r="K1657" s="1689"/>
      <c r="L1657" s="1689"/>
      <c r="M1657" s="1689"/>
      <c r="N1657" s="1689"/>
      <c r="O1657" s="1689"/>
      <c r="P1657" s="1689">
        <f t="shared" si="300"/>
        <v>0</v>
      </c>
      <c r="Q1657" s="985"/>
      <c r="R1657" s="985"/>
      <c r="S1657" s="985"/>
      <c r="T1657" s="1858">
        <f t="shared" si="296"/>
        <v>0</v>
      </c>
    </row>
    <row r="1658" spans="1:20" ht="22.2" hidden="1" customHeight="1">
      <c r="A1658" s="1444">
        <f>COUNTIF($C$12:C1658,"x")</f>
        <v>43</v>
      </c>
      <c r="B1658" s="1451" t="s">
        <v>1031</v>
      </c>
      <c r="C1658" s="966" t="str">
        <f t="shared" si="297"/>
        <v xml:space="preserve"> </v>
      </c>
      <c r="D1658" s="1411">
        <f>ROUND(E1658*1.02,2)</f>
        <v>0</v>
      </c>
      <c r="E1658" s="993"/>
      <c r="F1658" s="988" t="str">
        <f>VLOOKUP($B1658,DG!A:D,DG!$C$2,)</f>
        <v>Cáp 24KV A/XLPE/PVC 185mm2</v>
      </c>
      <c r="G1658" s="976" t="str">
        <f>VLOOKUP($B1658,DG!A:D,DG!$D$2,)</f>
        <v>mét</v>
      </c>
      <c r="H1658" s="1689">
        <f t="shared" si="301"/>
        <v>0</v>
      </c>
      <c r="I1658" s="1689">
        <f t="shared" si="302"/>
        <v>0</v>
      </c>
      <c r="J1658" s="1689"/>
      <c r="K1658" s="1689"/>
      <c r="L1658" s="1689"/>
      <c r="M1658" s="1689"/>
      <c r="N1658" s="1689"/>
      <c r="O1658" s="1689"/>
      <c r="P1658" s="1689">
        <f t="shared" si="300"/>
        <v>0</v>
      </c>
      <c r="Q1658" s="985"/>
      <c r="R1658" s="985"/>
      <c r="S1658" s="985"/>
      <c r="T1658" s="1858">
        <f t="shared" si="296"/>
        <v>0</v>
      </c>
    </row>
    <row r="1659" spans="1:20" ht="22.2" hidden="1" customHeight="1">
      <c r="A1659" s="1444">
        <f>COUNTIF($C$12:C1659,"x")</f>
        <v>43</v>
      </c>
      <c r="B1659" s="1451" t="s">
        <v>1032</v>
      </c>
      <c r="C1659" s="966" t="str">
        <f t="shared" si="297"/>
        <v xml:space="preserve"> </v>
      </c>
      <c r="D1659" s="1411">
        <f>ROUND(E1659*1.03,2)</f>
        <v>0</v>
      </c>
      <c r="E1659" s="993">
        <f>'pp3p2m '!C100</f>
        <v>0</v>
      </c>
      <c r="F1659" s="988" t="str">
        <f>VLOOKUP($B1659,DG!A:D,DG!$C$2,)</f>
        <v>Cáp 24KV A/XLPE/PVC 150mm2</v>
      </c>
      <c r="G1659" s="976" t="str">
        <f>VLOOKUP($B1659,DG!A:D,DG!$D$2,)</f>
        <v>mét</v>
      </c>
      <c r="H1659" s="1689">
        <f t="shared" si="301"/>
        <v>0</v>
      </c>
      <c r="I1659" s="1689">
        <f t="shared" si="302"/>
        <v>0</v>
      </c>
      <c r="J1659" s="1689"/>
      <c r="K1659" s="1689"/>
      <c r="L1659" s="1689"/>
      <c r="M1659" s="1689"/>
      <c r="N1659" s="1689"/>
      <c r="O1659" s="1689"/>
      <c r="P1659" s="1689">
        <f t="shared" si="300"/>
        <v>0</v>
      </c>
      <c r="Q1659" s="985"/>
      <c r="R1659" s="985"/>
      <c r="S1659" s="985"/>
      <c r="T1659" s="1858">
        <f t="shared" si="296"/>
        <v>0</v>
      </c>
    </row>
    <row r="1660" spans="1:20" ht="22.2" hidden="1" customHeight="1">
      <c r="A1660" s="1444">
        <f>COUNTIF($C$12:C1660,"x")</f>
        <v>43</v>
      </c>
      <c r="B1660" s="1451" t="s">
        <v>657</v>
      </c>
      <c r="C1660" s="966" t="str">
        <f t="shared" si="297"/>
        <v xml:space="preserve"> </v>
      </c>
      <c r="D1660" s="1411">
        <f>ROUND(E1660*1.03,2)</f>
        <v>0</v>
      </c>
      <c r="E1660" s="993">
        <f>'pp3p2m '!C101</f>
        <v>0</v>
      </c>
      <c r="F1660" s="988" t="str">
        <f>VLOOKUP($B1660,DG!A:D,DG!$C$2,)</f>
        <v>Cáp 24KV A/XLPE/PVC 120mm2</v>
      </c>
      <c r="G1660" s="976" t="str">
        <f>VLOOKUP($B1660,DG!A:D,DG!$D$2,)</f>
        <v>mét</v>
      </c>
      <c r="H1660" s="1689">
        <f t="shared" si="301"/>
        <v>0</v>
      </c>
      <c r="I1660" s="1689">
        <f t="shared" si="302"/>
        <v>0</v>
      </c>
      <c r="J1660" s="1689"/>
      <c r="K1660" s="1689"/>
      <c r="L1660" s="1689"/>
      <c r="M1660" s="1689"/>
      <c r="N1660" s="1689"/>
      <c r="O1660" s="1689"/>
      <c r="P1660" s="1689">
        <f t="shared" si="300"/>
        <v>0</v>
      </c>
      <c r="Q1660" s="985"/>
      <c r="R1660" s="985"/>
      <c r="S1660" s="985"/>
      <c r="T1660" s="1858">
        <f t="shared" si="296"/>
        <v>0</v>
      </c>
    </row>
    <row r="1661" spans="1:20" ht="22.2" hidden="1" customHeight="1">
      <c r="A1661" s="1444">
        <f>COUNTIF($C$12:C1661,"x")</f>
        <v>43</v>
      </c>
      <c r="B1661" s="1451" t="s">
        <v>57</v>
      </c>
      <c r="C1661" s="966" t="str">
        <f t="shared" si="297"/>
        <v xml:space="preserve"> </v>
      </c>
      <c r="D1661" s="1411">
        <f>ROUND(E1661*1.03,2)</f>
        <v>0</v>
      </c>
      <c r="E1661" s="993">
        <f>'pp3p2m '!C102</f>
        <v>0</v>
      </c>
      <c r="F1661" s="988" t="str">
        <f>VLOOKUP($B1661,DG!A:D,DG!$C$2,)</f>
        <v>Cáp 24KV A/XLPE/PVC 95mm2</v>
      </c>
      <c r="G1661" s="976" t="str">
        <f>VLOOKUP($B1661,DG!A:D,DG!$D$2,)</f>
        <v>mét</v>
      </c>
      <c r="H1661" s="1689">
        <f t="shared" si="301"/>
        <v>0</v>
      </c>
      <c r="I1661" s="1689">
        <f t="shared" si="302"/>
        <v>0</v>
      </c>
      <c r="J1661" s="1689"/>
      <c r="K1661" s="1689"/>
      <c r="L1661" s="1689"/>
      <c r="M1661" s="1689"/>
      <c r="N1661" s="1689"/>
      <c r="O1661" s="1689"/>
      <c r="P1661" s="1689">
        <f t="shared" si="300"/>
        <v>0</v>
      </c>
      <c r="Q1661" s="985"/>
      <c r="R1661" s="985"/>
      <c r="S1661" s="985"/>
      <c r="T1661" s="1858">
        <f t="shared" si="296"/>
        <v>0</v>
      </c>
    </row>
    <row r="1662" spans="1:20" ht="22.2" hidden="1" customHeight="1">
      <c r="A1662" s="1444">
        <f>COUNTIF($C$12:C1662,"x")</f>
        <v>43</v>
      </c>
      <c r="B1662" s="1451" t="s">
        <v>56</v>
      </c>
      <c r="C1662" s="966" t="str">
        <f t="shared" si="297"/>
        <v xml:space="preserve"> </v>
      </c>
      <c r="D1662" s="1411">
        <f>ROUND(E1662*1.03,2)</f>
        <v>0</v>
      </c>
      <c r="E1662" s="993">
        <f>'pp3p2m '!C103</f>
        <v>0</v>
      </c>
      <c r="F1662" s="988" t="str">
        <f>VLOOKUP($B1662,DG!A:D,DG!$C$2,)</f>
        <v>Cáp 24KV A/XLPE/PVC 70mm2</v>
      </c>
      <c r="G1662" s="976" t="str">
        <f>VLOOKUP($B1662,DG!A:D,DG!$D$2,)</f>
        <v>mét</v>
      </c>
      <c r="H1662" s="1689">
        <f t="shared" si="301"/>
        <v>0</v>
      </c>
      <c r="I1662" s="1689">
        <f t="shared" si="302"/>
        <v>0</v>
      </c>
      <c r="J1662" s="1689"/>
      <c r="K1662" s="1689"/>
      <c r="L1662" s="1689"/>
      <c r="M1662" s="1689"/>
      <c r="N1662" s="1689"/>
      <c r="O1662" s="1689"/>
      <c r="P1662" s="1689">
        <f t="shared" si="300"/>
        <v>0</v>
      </c>
      <c r="Q1662" s="985"/>
      <c r="R1662" s="985"/>
      <c r="S1662" s="985"/>
      <c r="T1662" s="1858">
        <f t="shared" si="296"/>
        <v>0</v>
      </c>
    </row>
    <row r="1663" spans="1:20" ht="22.2" hidden="1" customHeight="1">
      <c r="A1663" s="1444">
        <f>COUNTIF($C$12:C1663,"x")</f>
        <v>43</v>
      </c>
      <c r="B1663" s="1468" t="s">
        <v>2499</v>
      </c>
      <c r="C1663" s="966" t="str">
        <f t="shared" si="297"/>
        <v xml:space="preserve"> </v>
      </c>
      <c r="D1663" s="1424">
        <f>'pp3p2m '!CU82</f>
        <v>0</v>
      </c>
      <c r="E1663" s="976"/>
      <c r="F1663" s="994" t="s">
        <v>2500</v>
      </c>
      <c r="G1663" s="995" t="s">
        <v>2439</v>
      </c>
      <c r="H1663" s="1689">
        <f t="shared" si="301"/>
        <v>0</v>
      </c>
      <c r="I1663" s="1689">
        <f t="shared" si="302"/>
        <v>0</v>
      </c>
      <c r="J1663" s="1689"/>
      <c r="K1663" s="1689"/>
      <c r="L1663" s="1689"/>
      <c r="M1663" s="1689"/>
      <c r="N1663" s="1689"/>
      <c r="O1663" s="1689"/>
      <c r="P1663" s="1689">
        <f t="shared" si="300"/>
        <v>0</v>
      </c>
      <c r="Q1663" s="985"/>
      <c r="R1663" s="985"/>
      <c r="S1663" s="985"/>
      <c r="T1663" s="1858">
        <f t="shared" ref="T1663:T1726" si="303">IFERROR(HLOOKUP(B1663,BangKeTru,3,0),0)</f>
        <v>0</v>
      </c>
    </row>
    <row r="1664" spans="1:20" ht="22.2" hidden="1" customHeight="1">
      <c r="A1664" s="1444">
        <f>COUNTIF($C$12:C1664,"x")</f>
        <v>43</v>
      </c>
      <c r="B1664" s="1451" t="s">
        <v>1909</v>
      </c>
      <c r="C1664" s="966" t="str">
        <f t="shared" si="297"/>
        <v xml:space="preserve"> </v>
      </c>
      <c r="D1664" s="1411">
        <f>D1663</f>
        <v>0</v>
      </c>
      <c r="E1664" s="976"/>
      <c r="F1664" s="988" t="str">
        <f>VLOOKUP($B1664,DG!A:D,DG!$C$2,)</f>
        <v>Uclevis + sứ ống chỉ</v>
      </c>
      <c r="G1664" s="976" t="str">
        <f>VLOOKUP($B1664,DG!A:D,DG!$D$2,)</f>
        <v>bộ</v>
      </c>
      <c r="H1664" s="1689">
        <f t="shared" si="301"/>
        <v>0</v>
      </c>
      <c r="I1664" s="1689">
        <f t="shared" si="302"/>
        <v>0</v>
      </c>
      <c r="J1664" s="1689"/>
      <c r="K1664" s="1689"/>
      <c r="L1664" s="1689"/>
      <c r="M1664" s="1689"/>
      <c r="N1664" s="1689"/>
      <c r="O1664" s="1689"/>
      <c r="P1664" s="1689">
        <f t="shared" si="300"/>
        <v>0</v>
      </c>
      <c r="Q1664" s="985"/>
      <c r="R1664" s="985"/>
      <c r="S1664" s="985"/>
      <c r="T1664" s="1858">
        <f t="shared" si="303"/>
        <v>0</v>
      </c>
    </row>
    <row r="1665" spans="1:20" ht="22.2" hidden="1" customHeight="1">
      <c r="A1665" s="1444">
        <f>COUNTIF($C$12:C1665,"x")</f>
        <v>43</v>
      </c>
      <c r="B1665" s="1451" t="s">
        <v>1610</v>
      </c>
      <c r="C1665" s="966" t="str">
        <f t="shared" si="297"/>
        <v xml:space="preserve"> </v>
      </c>
      <c r="D1665" s="1411">
        <f>D1663</f>
        <v>0</v>
      </c>
      <c r="E1665" s="976"/>
      <c r="F1665" s="988" t="str">
        <f>VLOOKUP($B1665,DG!A:D,DG!$C$2,)</f>
        <v>Boulon 16x300+ 2 long đền vuông D18-50x50x3/Zn</v>
      </c>
      <c r="G1665" s="976" t="str">
        <f>VLOOKUP($B1665,DG!A:D,DG!$D$2,)</f>
        <v>bộ</v>
      </c>
      <c r="H1665" s="1689">
        <f t="shared" si="301"/>
        <v>0</v>
      </c>
      <c r="I1665" s="1689">
        <f t="shared" si="302"/>
        <v>0</v>
      </c>
      <c r="J1665" s="1689"/>
      <c r="K1665" s="1689"/>
      <c r="L1665" s="1689"/>
      <c r="M1665" s="1689"/>
      <c r="N1665" s="1689"/>
      <c r="O1665" s="1689"/>
      <c r="P1665" s="1689">
        <f t="shared" si="300"/>
        <v>0</v>
      </c>
      <c r="Q1665" s="985"/>
      <c r="R1665" s="985"/>
      <c r="S1665" s="985"/>
      <c r="T1665" s="1858">
        <f t="shared" si="303"/>
        <v>0</v>
      </c>
    </row>
    <row r="1666" spans="1:20" ht="22.2" hidden="1" customHeight="1">
      <c r="A1666" s="1444">
        <f>COUNTIF($C$12:C1666,"x")</f>
        <v>43</v>
      </c>
      <c r="B1666" s="1468" t="s">
        <v>1621</v>
      </c>
      <c r="C1666" s="966" t="str">
        <f t="shared" si="297"/>
        <v xml:space="preserve"> </v>
      </c>
      <c r="D1666" s="1424">
        <f>'pp3p2m '!CW82</f>
        <v>0</v>
      </c>
      <c r="E1666" s="976"/>
      <c r="F1666" s="994" t="s">
        <v>2501</v>
      </c>
      <c r="G1666" s="995" t="s">
        <v>2439</v>
      </c>
      <c r="H1666" s="1689">
        <f t="shared" si="301"/>
        <v>0</v>
      </c>
      <c r="I1666" s="1689">
        <f t="shared" si="302"/>
        <v>0</v>
      </c>
      <c r="J1666" s="1689"/>
      <c r="K1666" s="1689"/>
      <c r="L1666" s="1689"/>
      <c r="M1666" s="1689"/>
      <c r="N1666" s="1689"/>
      <c r="O1666" s="1689"/>
      <c r="P1666" s="1689">
        <f t="shared" si="300"/>
        <v>0</v>
      </c>
      <c r="Q1666" s="985"/>
      <c r="R1666" s="985"/>
      <c r="S1666" s="985"/>
      <c r="T1666" s="1858">
        <f t="shared" si="303"/>
        <v>0</v>
      </c>
    </row>
    <row r="1667" spans="1:20" ht="22.2" hidden="1" customHeight="1">
      <c r="A1667" s="1444">
        <f>COUNTIF($C$12:C1667,"x")</f>
        <v>43</v>
      </c>
      <c r="B1667" s="1451" t="s">
        <v>1909</v>
      </c>
      <c r="C1667" s="966" t="str">
        <f t="shared" si="297"/>
        <v xml:space="preserve"> </v>
      </c>
      <c r="D1667" s="1411">
        <f>D1666</f>
        <v>0</v>
      </c>
      <c r="E1667" s="976"/>
      <c r="F1667" s="988" t="str">
        <f>VLOOKUP($B1667,DG!A:D,DG!$C$2,)</f>
        <v>Uclevis + sứ ống chỉ</v>
      </c>
      <c r="G1667" s="976" t="str">
        <f>VLOOKUP($B1667,DG!A:D,DG!$D$2,)</f>
        <v>bộ</v>
      </c>
      <c r="H1667" s="1689">
        <f t="shared" si="301"/>
        <v>0</v>
      </c>
      <c r="I1667" s="1689">
        <f t="shared" si="302"/>
        <v>0</v>
      </c>
      <c r="J1667" s="1689"/>
      <c r="K1667" s="1689"/>
      <c r="L1667" s="1689"/>
      <c r="M1667" s="1689"/>
      <c r="N1667" s="1689"/>
      <c r="O1667" s="1689"/>
      <c r="P1667" s="1689">
        <f t="shared" si="300"/>
        <v>0</v>
      </c>
      <c r="Q1667" s="985"/>
      <c r="R1667" s="985"/>
      <c r="S1667" s="985"/>
      <c r="T1667" s="1858">
        <f t="shared" si="303"/>
        <v>0</v>
      </c>
    </row>
    <row r="1668" spans="1:20" ht="22.2" hidden="1" customHeight="1">
      <c r="A1668" s="1444">
        <f>COUNTIF($C$12:C1668,"x")</f>
        <v>43</v>
      </c>
      <c r="B1668" s="1451" t="s">
        <v>1610</v>
      </c>
      <c r="C1668" s="966" t="str">
        <f t="shared" si="297"/>
        <v xml:space="preserve"> </v>
      </c>
      <c r="D1668" s="1411">
        <f>D1666</f>
        <v>0</v>
      </c>
      <c r="E1668" s="976"/>
      <c r="F1668" s="988" t="str">
        <f>VLOOKUP($B1668,DG!A:D,DG!$C$2,)</f>
        <v>Boulon 16x300+ 2 long đền vuông D18-50x50x3/Zn</v>
      </c>
      <c r="G1668" s="976" t="str">
        <f>VLOOKUP($B1668,DG!A:D,DG!$D$2,)</f>
        <v>bộ</v>
      </c>
      <c r="H1668" s="1689">
        <f t="shared" si="301"/>
        <v>0</v>
      </c>
      <c r="I1668" s="1689">
        <f t="shared" si="302"/>
        <v>0</v>
      </c>
      <c r="J1668" s="1689"/>
      <c r="K1668" s="1689"/>
      <c r="L1668" s="1689"/>
      <c r="M1668" s="1689"/>
      <c r="N1668" s="1689"/>
      <c r="O1668" s="1689"/>
      <c r="P1668" s="1689">
        <f t="shared" si="300"/>
        <v>0</v>
      </c>
      <c r="Q1668" s="985"/>
      <c r="R1668" s="985"/>
      <c r="S1668" s="985"/>
      <c r="T1668" s="1858">
        <f t="shared" si="303"/>
        <v>0</v>
      </c>
    </row>
    <row r="1669" spans="1:20" ht="22.2" hidden="1" customHeight="1">
      <c r="A1669" s="1444">
        <f>COUNTIF($C$12:C1669,"x")</f>
        <v>43</v>
      </c>
      <c r="B1669" s="1451" t="s">
        <v>1851</v>
      </c>
      <c r="C1669" s="966" t="str">
        <f t="shared" si="297"/>
        <v xml:space="preserve"> </v>
      </c>
      <c r="D1669" s="1411">
        <f>D1666*6</f>
        <v>0</v>
      </c>
      <c r="E1669" s="976"/>
      <c r="F1669" s="988" t="str">
        <f>VLOOKUP($B1669,DG!A:D,DG!$C$2,)</f>
        <v>Kẹp 2 rãnh cỡ dây 50mm2</v>
      </c>
      <c r="G1669" s="976" t="str">
        <f>VLOOKUP($B1669,DG!A:D,DG!$D$2,)</f>
        <v>cái</v>
      </c>
      <c r="H1669" s="1689">
        <f t="shared" si="301"/>
        <v>0</v>
      </c>
      <c r="I1669" s="1689">
        <f t="shared" si="302"/>
        <v>0</v>
      </c>
      <c r="J1669" s="1689"/>
      <c r="K1669" s="1689"/>
      <c r="L1669" s="1689"/>
      <c r="M1669" s="1689"/>
      <c r="N1669" s="1689"/>
      <c r="O1669" s="1689"/>
      <c r="P1669" s="1689">
        <f t="shared" si="300"/>
        <v>0</v>
      </c>
      <c r="Q1669" s="985"/>
      <c r="R1669" s="985"/>
      <c r="S1669" s="985"/>
      <c r="T1669" s="1858">
        <f t="shared" si="303"/>
        <v>0</v>
      </c>
    </row>
    <row r="1670" spans="1:20" ht="22.2" hidden="1" customHeight="1">
      <c r="A1670" s="1444">
        <f>COUNTIF($C$12:C1670,"x")</f>
        <v>43</v>
      </c>
      <c r="B1670" s="1468" t="s">
        <v>1622</v>
      </c>
      <c r="C1670" s="966" t="str">
        <f t="shared" si="297"/>
        <v xml:space="preserve"> </v>
      </c>
      <c r="D1670" s="1424">
        <f>'pp3p2m '!CX82</f>
        <v>0</v>
      </c>
      <c r="E1670" s="976"/>
      <c r="F1670" s="994" t="s">
        <v>2502</v>
      </c>
      <c r="G1670" s="995" t="s">
        <v>2439</v>
      </c>
      <c r="H1670" s="1689">
        <f t="shared" si="301"/>
        <v>0</v>
      </c>
      <c r="I1670" s="1689">
        <f t="shared" si="302"/>
        <v>0</v>
      </c>
      <c r="J1670" s="1689"/>
      <c r="K1670" s="1689"/>
      <c r="L1670" s="1689"/>
      <c r="M1670" s="1689"/>
      <c r="N1670" s="1689"/>
      <c r="O1670" s="1689"/>
      <c r="P1670" s="1689">
        <f t="shared" si="300"/>
        <v>0</v>
      </c>
      <c r="Q1670" s="985"/>
      <c r="R1670" s="985"/>
      <c r="S1670" s="985"/>
      <c r="T1670" s="1858">
        <f t="shared" si="303"/>
        <v>0</v>
      </c>
    </row>
    <row r="1671" spans="1:20" ht="22.2" hidden="1" customHeight="1">
      <c r="A1671" s="1444">
        <f>COUNTIF($C$12:C1671,"x")</f>
        <v>43</v>
      </c>
      <c r="B1671" s="1469" t="s">
        <v>1920</v>
      </c>
      <c r="C1671" s="966" t="str">
        <f t="shared" ref="C1671:C1734" si="304">IF(OR(P1671&lt;&gt;0,H1671&lt;&gt;0),"x"," ")</f>
        <v xml:space="preserve"> </v>
      </c>
      <c r="D1671" s="1411">
        <f>D1670</f>
        <v>0</v>
      </c>
      <c r="E1671" s="976"/>
      <c r="F1671" s="986" t="str">
        <f>VLOOKUP($B1671,DG!A:D,DG!$C$2,)</f>
        <v>Khóa néo dây cỡ dây 120</v>
      </c>
      <c r="G1671" s="976" t="str">
        <f>VLOOKUP($B1671,DG!A:D,DG!$D$2,)</f>
        <v>cái</v>
      </c>
      <c r="H1671" s="1689">
        <f t="shared" si="301"/>
        <v>0</v>
      </c>
      <c r="I1671" s="1689">
        <f t="shared" si="302"/>
        <v>0</v>
      </c>
      <c r="J1671" s="1689"/>
      <c r="K1671" s="1689"/>
      <c r="L1671" s="1689"/>
      <c r="M1671" s="1689"/>
      <c r="N1671" s="1689"/>
      <c r="O1671" s="1689"/>
      <c r="P1671" s="1689">
        <f t="shared" si="300"/>
        <v>0</v>
      </c>
      <c r="Q1671" s="985"/>
      <c r="R1671" s="985"/>
      <c r="S1671" s="985"/>
      <c r="T1671" s="1858">
        <f t="shared" si="303"/>
        <v>0</v>
      </c>
    </row>
    <row r="1672" spans="1:20" ht="22.2" hidden="1" customHeight="1">
      <c r="A1672" s="1444">
        <f>COUNTIF($C$12:C1672,"x")</f>
        <v>43</v>
      </c>
      <c r="B1672" s="1451" t="s">
        <v>1486</v>
      </c>
      <c r="C1672" s="966" t="str">
        <f t="shared" si="304"/>
        <v xml:space="preserve"> </v>
      </c>
      <c r="D1672" s="1411">
        <f>D1670*2</f>
        <v>0</v>
      </c>
      <c r="E1672" s="976"/>
      <c r="F1672" s="986" t="str">
        <f>VLOOKUP($B1672,DG!A:D,DG!$C$2,)</f>
        <v xml:space="preserve">Móc treo chữ U </v>
      </c>
      <c r="G1672" s="976" t="str">
        <f>VLOOKUP($B1672,DG!A:D,DG!$D$2,)</f>
        <v>cái</v>
      </c>
      <c r="H1672" s="1689">
        <f t="shared" si="301"/>
        <v>0</v>
      </c>
      <c r="I1672" s="1689">
        <f t="shared" si="302"/>
        <v>0</v>
      </c>
      <c r="J1672" s="1689"/>
      <c r="K1672" s="1689"/>
      <c r="L1672" s="1689"/>
      <c r="M1672" s="1689"/>
      <c r="N1672" s="1689"/>
      <c r="O1672" s="1689"/>
      <c r="P1672" s="1689">
        <f t="shared" si="300"/>
        <v>0</v>
      </c>
      <c r="Q1672" s="985"/>
      <c r="R1672" s="985"/>
      <c r="S1672" s="985"/>
      <c r="T1672" s="1858">
        <f t="shared" si="303"/>
        <v>0</v>
      </c>
    </row>
    <row r="1673" spans="1:20" ht="22.2" hidden="1" customHeight="1">
      <c r="A1673" s="1444">
        <f>COUNTIF($C$12:C1673,"x")</f>
        <v>43</v>
      </c>
      <c r="B1673" s="1451" t="s">
        <v>417</v>
      </c>
      <c r="C1673" s="966" t="str">
        <f t="shared" si="304"/>
        <v xml:space="preserve"> </v>
      </c>
      <c r="D1673" s="1411">
        <f>D1671</f>
        <v>0</v>
      </c>
      <c r="E1673" s="976"/>
      <c r="F1673" s="986" t="str">
        <f>VLOOKUP($B1673,DG!A:D,DG!$C$2,)</f>
        <v>Boulon mắt 16x300+ 2 long đền vuông D18-50x50x3/Zn</v>
      </c>
      <c r="G1673" s="976" t="str">
        <f>VLOOKUP($B1673,DG!A:D,DG!$D$2,)</f>
        <v>bộ</v>
      </c>
      <c r="H1673" s="1689">
        <f t="shared" si="301"/>
        <v>0</v>
      </c>
      <c r="I1673" s="1689">
        <f t="shared" si="302"/>
        <v>0</v>
      </c>
      <c r="J1673" s="1689"/>
      <c r="K1673" s="1689"/>
      <c r="L1673" s="1689"/>
      <c r="M1673" s="1689"/>
      <c r="N1673" s="1689"/>
      <c r="O1673" s="1689"/>
      <c r="P1673" s="1689">
        <f t="shared" si="300"/>
        <v>0</v>
      </c>
      <c r="Q1673" s="985"/>
      <c r="R1673" s="985"/>
      <c r="S1673" s="985"/>
      <c r="T1673" s="1858">
        <f t="shared" si="303"/>
        <v>0</v>
      </c>
    </row>
    <row r="1674" spans="1:20" ht="22.2" hidden="1" customHeight="1">
      <c r="A1674" s="1444">
        <f>COUNTIF($C$12:C1674,"x")</f>
        <v>43</v>
      </c>
      <c r="B1674" s="1451" t="s">
        <v>241</v>
      </c>
      <c r="C1674" s="966" t="str">
        <f t="shared" si="304"/>
        <v xml:space="preserve"> </v>
      </c>
      <c r="D1674" s="1411">
        <f>D1670</f>
        <v>0</v>
      </c>
      <c r="E1674" s="976"/>
      <c r="F1674" s="986" t="str">
        <f>VLOOKUP($B1674,DG!A:D,DG!$C$2,)</f>
        <v>Kẹp ép WR cỡ dây 120mm2</v>
      </c>
      <c r="G1674" s="976" t="str">
        <f>VLOOKUP($B1674,DG!A:D,DG!$D$2,)</f>
        <v>cái</v>
      </c>
      <c r="H1674" s="1689">
        <f t="shared" si="301"/>
        <v>0</v>
      </c>
      <c r="I1674" s="1689">
        <f t="shared" si="302"/>
        <v>0</v>
      </c>
      <c r="J1674" s="1689"/>
      <c r="K1674" s="1689"/>
      <c r="L1674" s="1689"/>
      <c r="M1674" s="1689"/>
      <c r="N1674" s="1689"/>
      <c r="O1674" s="1689"/>
      <c r="P1674" s="1689">
        <f t="shared" si="300"/>
        <v>0</v>
      </c>
      <c r="Q1674" s="985"/>
      <c r="R1674" s="985"/>
      <c r="S1674" s="985"/>
      <c r="T1674" s="1858">
        <f t="shared" si="303"/>
        <v>0</v>
      </c>
    </row>
    <row r="1675" spans="1:20" ht="22.2" hidden="1" customHeight="1">
      <c r="A1675" s="1444">
        <f>COUNTIF($C$12:C1675,"x")</f>
        <v>43</v>
      </c>
      <c r="B1675" s="1468" t="s">
        <v>2504</v>
      </c>
      <c r="C1675" s="966" t="str">
        <f t="shared" si="304"/>
        <v xml:space="preserve"> </v>
      </c>
      <c r="D1675" s="1424">
        <f>'pp3p2m '!CP82</f>
        <v>0</v>
      </c>
      <c r="E1675" s="976"/>
      <c r="F1675" s="994" t="s">
        <v>2505</v>
      </c>
      <c r="G1675" s="995" t="s">
        <v>2439</v>
      </c>
      <c r="H1675" s="1689">
        <f t="shared" si="301"/>
        <v>0</v>
      </c>
      <c r="I1675" s="1689">
        <f t="shared" si="302"/>
        <v>0</v>
      </c>
      <c r="J1675" s="1689"/>
      <c r="K1675" s="1689"/>
      <c r="L1675" s="1689"/>
      <c r="M1675" s="1689"/>
      <c r="N1675" s="1689"/>
      <c r="O1675" s="1689"/>
      <c r="P1675" s="1689">
        <f t="shared" si="300"/>
        <v>0</v>
      </c>
      <c r="Q1675" s="985"/>
      <c r="R1675" s="985"/>
      <c r="S1675" s="985"/>
      <c r="T1675" s="1858">
        <f t="shared" si="303"/>
        <v>0</v>
      </c>
    </row>
    <row r="1676" spans="1:20" ht="22.2" hidden="1" customHeight="1">
      <c r="A1676" s="1444">
        <f>COUNTIF($C$12:C1676,"x")</f>
        <v>43</v>
      </c>
      <c r="B1676" s="1451" t="s">
        <v>696</v>
      </c>
      <c r="C1676" s="966" t="str">
        <f t="shared" si="304"/>
        <v xml:space="preserve"> </v>
      </c>
      <c r="D1676" s="1411">
        <f>D1675</f>
        <v>0</v>
      </c>
      <c r="E1676" s="976"/>
      <c r="F1676" s="988" t="str">
        <f>VLOOKUP($B1676,DG!A:D,DG!$C$2,)</f>
        <v xml:space="preserve">Sứ đứng 24KV </v>
      </c>
      <c r="G1676" s="976" t="str">
        <f>VLOOKUP($B1676,DG!A:D,DG!$D$2,)</f>
        <v>cái</v>
      </c>
      <c r="H1676" s="1689">
        <f t="shared" si="301"/>
        <v>0</v>
      </c>
      <c r="I1676" s="1689">
        <f t="shared" si="302"/>
        <v>0</v>
      </c>
      <c r="J1676" s="1689"/>
      <c r="K1676" s="1689"/>
      <c r="L1676" s="1689"/>
      <c r="M1676" s="1689"/>
      <c r="N1676" s="1689"/>
      <c r="O1676" s="1689"/>
      <c r="P1676" s="1689">
        <f t="shared" si="300"/>
        <v>0</v>
      </c>
      <c r="Q1676" s="985"/>
      <c r="R1676" s="985"/>
      <c r="S1676" s="985"/>
      <c r="T1676" s="1858">
        <f t="shared" si="303"/>
        <v>0</v>
      </c>
    </row>
    <row r="1677" spans="1:20" ht="22.2" hidden="1" customHeight="1">
      <c r="A1677" s="1444">
        <f>COUNTIF($C$12:C1677,"x")</f>
        <v>43</v>
      </c>
      <c r="B1677" s="1451" t="s">
        <v>1265</v>
      </c>
      <c r="C1677" s="966" t="str">
        <f t="shared" si="304"/>
        <v xml:space="preserve"> </v>
      </c>
      <c r="D1677" s="1411">
        <f>D1675</f>
        <v>0</v>
      </c>
      <c r="E1677" s="976"/>
      <c r="F1677" s="988" t="str">
        <f>VLOOKUP($B1677,DG!A:D,DG!$C$2,)</f>
        <v>Chân sứ đứng D20</v>
      </c>
      <c r="G1677" s="976" t="str">
        <f>VLOOKUP($B1677,DG!A:D,DG!$D$2,)</f>
        <v>cái</v>
      </c>
      <c r="H1677" s="1689">
        <f t="shared" si="301"/>
        <v>0</v>
      </c>
      <c r="I1677" s="1689">
        <f t="shared" si="302"/>
        <v>0</v>
      </c>
      <c r="J1677" s="1689"/>
      <c r="K1677" s="1689"/>
      <c r="L1677" s="1689"/>
      <c r="M1677" s="1689"/>
      <c r="N1677" s="1689"/>
      <c r="O1677" s="1689"/>
      <c r="P1677" s="1689">
        <f t="shared" si="300"/>
        <v>0</v>
      </c>
      <c r="Q1677" s="985"/>
      <c r="R1677" s="985"/>
      <c r="S1677" s="985"/>
      <c r="T1677" s="1858">
        <f t="shared" si="303"/>
        <v>0</v>
      </c>
    </row>
    <row r="1678" spans="1:20" ht="22.2" hidden="1" customHeight="1">
      <c r="A1678" s="1444">
        <f>COUNTIF($C$12:C1678,"x")</f>
        <v>43</v>
      </c>
      <c r="B1678" s="1468" t="s">
        <v>2506</v>
      </c>
      <c r="C1678" s="966" t="str">
        <f t="shared" si="304"/>
        <v xml:space="preserve"> </v>
      </c>
      <c r="D1678" s="1424">
        <f>'pp3p2m '!CN82</f>
        <v>0</v>
      </c>
      <c r="E1678" s="976"/>
      <c r="F1678" s="994" t="s">
        <v>2507</v>
      </c>
      <c r="G1678" s="995" t="s">
        <v>2439</v>
      </c>
      <c r="H1678" s="1689">
        <f t="shared" si="301"/>
        <v>0</v>
      </c>
      <c r="I1678" s="1689">
        <f t="shared" si="302"/>
        <v>0</v>
      </c>
      <c r="J1678" s="1689"/>
      <c r="K1678" s="1689"/>
      <c r="L1678" s="1689"/>
      <c r="M1678" s="1689"/>
      <c r="N1678" s="1689"/>
      <c r="O1678" s="1689"/>
      <c r="P1678" s="1689">
        <f t="shared" si="300"/>
        <v>0</v>
      </c>
      <c r="Q1678" s="985"/>
      <c r="R1678" s="985"/>
      <c r="S1678" s="985"/>
      <c r="T1678" s="1858">
        <f t="shared" si="303"/>
        <v>0</v>
      </c>
    </row>
    <row r="1679" spans="1:20" ht="22.2" hidden="1" customHeight="1">
      <c r="A1679" s="1444">
        <f>COUNTIF($C$12:C1679,"x")</f>
        <v>43</v>
      </c>
      <c r="B1679" s="1451" t="s">
        <v>696</v>
      </c>
      <c r="C1679" s="966" t="str">
        <f t="shared" si="304"/>
        <v xml:space="preserve"> </v>
      </c>
      <c r="D1679" s="1411">
        <f>D1678</f>
        <v>0</v>
      </c>
      <c r="E1679" s="976"/>
      <c r="F1679" s="988" t="str">
        <f>VLOOKUP($B1679,DG!A:D,DG!$C$2,)</f>
        <v xml:space="preserve">Sứ đứng 24KV </v>
      </c>
      <c r="G1679" s="976" t="str">
        <f>VLOOKUP($B1679,DG!A:D,DG!$D$2,)</f>
        <v>cái</v>
      </c>
      <c r="H1679" s="1689">
        <f t="shared" si="301"/>
        <v>0</v>
      </c>
      <c r="I1679" s="1689">
        <f t="shared" si="302"/>
        <v>0</v>
      </c>
      <c r="J1679" s="1689"/>
      <c r="K1679" s="1689"/>
      <c r="L1679" s="1689"/>
      <c r="M1679" s="1689"/>
      <c r="N1679" s="1689"/>
      <c r="O1679" s="1689"/>
      <c r="P1679" s="1689">
        <f t="shared" si="300"/>
        <v>0</v>
      </c>
      <c r="Q1679" s="985"/>
      <c r="R1679" s="985"/>
      <c r="S1679" s="985"/>
      <c r="T1679" s="1858">
        <f t="shared" si="303"/>
        <v>0</v>
      </c>
    </row>
    <row r="1680" spans="1:20" ht="22.2" hidden="1" customHeight="1">
      <c r="A1680" s="1444">
        <f>COUNTIF($C$12:C1680,"x")</f>
        <v>43</v>
      </c>
      <c r="B1680" s="1451" t="s">
        <v>1266</v>
      </c>
      <c r="C1680" s="966" t="str">
        <f t="shared" si="304"/>
        <v xml:space="preserve"> </v>
      </c>
      <c r="D1680" s="1411">
        <f>D1678</f>
        <v>0</v>
      </c>
      <c r="E1680" s="976"/>
      <c r="F1680" s="988" t="str">
        <f>VLOOKUP($B1680,DG!A:D,DG!$C$2,)</f>
        <v>Chân sứ đỉnh thẳng dài 870mm</v>
      </c>
      <c r="G1680" s="976" t="str">
        <f>VLOOKUP($B1680,DG!A:D,DG!$D$2,)</f>
        <v>cái</v>
      </c>
      <c r="H1680" s="1689">
        <f t="shared" si="301"/>
        <v>0</v>
      </c>
      <c r="I1680" s="1689">
        <f t="shared" si="302"/>
        <v>0</v>
      </c>
      <c r="J1680" s="1689"/>
      <c r="K1680" s="1689"/>
      <c r="L1680" s="1689"/>
      <c r="M1680" s="1689"/>
      <c r="N1680" s="1689"/>
      <c r="O1680" s="1689"/>
      <c r="P1680" s="1689">
        <f t="shared" si="300"/>
        <v>0</v>
      </c>
      <c r="Q1680" s="985"/>
      <c r="R1680" s="985"/>
      <c r="S1680" s="985"/>
      <c r="T1680" s="1858">
        <f t="shared" si="303"/>
        <v>0</v>
      </c>
    </row>
    <row r="1681" spans="1:20" ht="22.2" hidden="1" customHeight="1">
      <c r="A1681" s="1444">
        <f>COUNTIF($C$12:C1681,"x")</f>
        <v>43</v>
      </c>
      <c r="B1681" s="1451" t="s">
        <v>1610</v>
      </c>
      <c r="C1681" s="966" t="str">
        <f t="shared" si="304"/>
        <v xml:space="preserve"> </v>
      </c>
      <c r="D1681" s="1411">
        <f>D1678*2</f>
        <v>0</v>
      </c>
      <c r="E1681" s="976"/>
      <c r="F1681" s="988" t="str">
        <f>VLOOKUP($B1681,DG!A:D,DG!$C$2,)</f>
        <v>Boulon 16x300+ 2 long đền vuông D18-50x50x3/Zn</v>
      </c>
      <c r="G1681" s="976" t="str">
        <f>VLOOKUP($B1681,DG!A:D,DG!$D$2,)</f>
        <v>bộ</v>
      </c>
      <c r="H1681" s="1689">
        <f t="shared" si="301"/>
        <v>0</v>
      </c>
      <c r="I1681" s="1689">
        <f t="shared" si="302"/>
        <v>0</v>
      </c>
      <c r="J1681" s="1689"/>
      <c r="K1681" s="1689"/>
      <c r="L1681" s="1689"/>
      <c r="M1681" s="1689"/>
      <c r="N1681" s="1689"/>
      <c r="O1681" s="1689"/>
      <c r="P1681" s="1689">
        <f t="shared" si="300"/>
        <v>0</v>
      </c>
      <c r="Q1681" s="985"/>
      <c r="R1681" s="985"/>
      <c r="S1681" s="985"/>
      <c r="T1681" s="1858">
        <f t="shared" si="303"/>
        <v>0</v>
      </c>
    </row>
    <row r="1682" spans="1:20" ht="22.2" hidden="1" customHeight="1">
      <c r="A1682" s="1444">
        <f>COUNTIF($C$12:C1682,"x")</f>
        <v>43</v>
      </c>
      <c r="B1682" s="1470" t="s">
        <v>2508</v>
      </c>
      <c r="C1682" s="966" t="str">
        <f t="shared" si="304"/>
        <v xml:space="preserve"> </v>
      </c>
      <c r="D1682" s="1425">
        <f>'pp3p2m '!CO82</f>
        <v>0</v>
      </c>
      <c r="E1682" s="980"/>
      <c r="F1682" s="994" t="s">
        <v>2509</v>
      </c>
      <c r="G1682" s="1212" t="s">
        <v>2439</v>
      </c>
      <c r="H1682" s="1689">
        <f t="shared" ref="H1682:H1713" si="305">$D1682</f>
        <v>0</v>
      </c>
      <c r="I1682" s="1690">
        <f t="shared" ref="I1682:I1713" si="306">D1682</f>
        <v>0</v>
      </c>
      <c r="J1682" s="1690"/>
      <c r="K1682" s="1690"/>
      <c r="L1682" s="1690"/>
      <c r="M1682" s="1690"/>
      <c r="N1682" s="1690"/>
      <c r="O1682" s="1690"/>
      <c r="P1682" s="1689">
        <f t="shared" si="300"/>
        <v>0</v>
      </c>
      <c r="Q1682" s="985"/>
      <c r="R1682" s="985"/>
      <c r="S1682" s="985"/>
      <c r="T1682" s="1858">
        <f t="shared" si="303"/>
        <v>0</v>
      </c>
    </row>
    <row r="1683" spans="1:20" ht="22.2" hidden="1" customHeight="1">
      <c r="A1683" s="1444">
        <f>COUNTIF($C$12:C1683,"x")</f>
        <v>43</v>
      </c>
      <c r="B1683" s="1451" t="s">
        <v>696</v>
      </c>
      <c r="C1683" s="966" t="str">
        <f t="shared" si="304"/>
        <v xml:space="preserve"> </v>
      </c>
      <c r="D1683" s="1414">
        <f>D1682*2</f>
        <v>0</v>
      </c>
      <c r="E1683" s="980"/>
      <c r="F1683" s="988" t="str">
        <f>VLOOKUP($B1683,DG!A:D,DG!$C$2,)</f>
        <v xml:space="preserve">Sứ đứng 24KV </v>
      </c>
      <c r="G1683" s="976" t="str">
        <f>VLOOKUP($B1683,DG!A:D,DG!$D$2,)</f>
        <v>cái</v>
      </c>
      <c r="H1683" s="1689">
        <f t="shared" si="305"/>
        <v>0</v>
      </c>
      <c r="I1683" s="1690">
        <f t="shared" si="306"/>
        <v>0</v>
      </c>
      <c r="J1683" s="1690"/>
      <c r="K1683" s="1690"/>
      <c r="L1683" s="1690"/>
      <c r="M1683" s="1690"/>
      <c r="N1683" s="1690"/>
      <c r="O1683" s="1690"/>
      <c r="P1683" s="1689">
        <f t="shared" si="300"/>
        <v>0</v>
      </c>
      <c r="Q1683" s="985"/>
      <c r="R1683" s="985"/>
      <c r="S1683" s="985"/>
      <c r="T1683" s="1858">
        <f t="shared" si="303"/>
        <v>0</v>
      </c>
    </row>
    <row r="1684" spans="1:20" ht="22.2" hidden="1" customHeight="1">
      <c r="A1684" s="1444">
        <f>COUNTIF($C$12:C1684,"x")</f>
        <v>43</v>
      </c>
      <c r="B1684" s="1451" t="s">
        <v>590</v>
      </c>
      <c r="C1684" s="966" t="str">
        <f t="shared" si="304"/>
        <v xml:space="preserve"> </v>
      </c>
      <c r="D1684" s="1414">
        <f>D1682*2</f>
        <v>0</v>
      </c>
      <c r="E1684" s="980"/>
      <c r="F1684" s="988" t="str">
        <f>VLOOKUP($B1684,DG!A:D,DG!$C$2,)</f>
        <v>Chân sứ đỉnh đỡ góc dài 870mm</v>
      </c>
      <c r="G1684" s="976" t="str">
        <f>VLOOKUP($B1684,DG!A:D,DG!$D$2,)</f>
        <v>cái</v>
      </c>
      <c r="H1684" s="1689">
        <f t="shared" si="305"/>
        <v>0</v>
      </c>
      <c r="I1684" s="1690">
        <f t="shared" si="306"/>
        <v>0</v>
      </c>
      <c r="J1684" s="1690"/>
      <c r="K1684" s="1690"/>
      <c r="L1684" s="1690"/>
      <c r="M1684" s="1690"/>
      <c r="N1684" s="1690"/>
      <c r="O1684" s="1690"/>
      <c r="P1684" s="1689">
        <f t="shared" si="300"/>
        <v>0</v>
      </c>
      <c r="Q1684" s="985"/>
      <c r="R1684" s="985"/>
      <c r="S1684" s="985"/>
      <c r="T1684" s="1858">
        <f t="shared" si="303"/>
        <v>0</v>
      </c>
    </row>
    <row r="1685" spans="1:20" ht="22.2" hidden="1" customHeight="1">
      <c r="A1685" s="1444">
        <f>COUNTIF($C$12:C1685,"x")</f>
        <v>43</v>
      </c>
      <c r="B1685" s="1451" t="s">
        <v>1610</v>
      </c>
      <c r="C1685" s="966" t="str">
        <f t="shared" si="304"/>
        <v xml:space="preserve"> </v>
      </c>
      <c r="D1685" s="1414">
        <f>D1682*2</f>
        <v>0</v>
      </c>
      <c r="E1685" s="980"/>
      <c r="F1685" s="988" t="str">
        <f>VLOOKUP($B1685,DG!A:D,DG!$C$2,)</f>
        <v>Boulon 16x300+ 2 long đền vuông D18-50x50x3/Zn</v>
      </c>
      <c r="G1685" s="976" t="str">
        <f>VLOOKUP($B1685,DG!A:D,DG!$D$2,)</f>
        <v>bộ</v>
      </c>
      <c r="H1685" s="1689">
        <f t="shared" si="305"/>
        <v>0</v>
      </c>
      <c r="I1685" s="1690">
        <f t="shared" si="306"/>
        <v>0</v>
      </c>
      <c r="J1685" s="1690"/>
      <c r="K1685" s="1690"/>
      <c r="L1685" s="1690"/>
      <c r="M1685" s="1690"/>
      <c r="N1685" s="1690"/>
      <c r="O1685" s="1690"/>
      <c r="P1685" s="1689">
        <f t="shared" si="300"/>
        <v>0</v>
      </c>
      <c r="Q1685" s="985"/>
      <c r="R1685" s="985"/>
      <c r="S1685" s="985"/>
      <c r="T1685" s="1858">
        <f t="shared" si="303"/>
        <v>0</v>
      </c>
    </row>
    <row r="1686" spans="1:20" ht="22.2" hidden="1" customHeight="1">
      <c r="A1686" s="1444">
        <f>COUNTIF($C$12:C1686,"x")</f>
        <v>43</v>
      </c>
      <c r="B1686" s="1468" t="s">
        <v>2510</v>
      </c>
      <c r="C1686" s="966" t="str">
        <f t="shared" si="304"/>
        <v xml:space="preserve"> </v>
      </c>
      <c r="D1686" s="1424"/>
      <c r="E1686" s="976"/>
      <c r="F1686" s="994" t="s">
        <v>2528</v>
      </c>
      <c r="G1686" s="995" t="s">
        <v>2512</v>
      </c>
      <c r="H1686" s="1689">
        <f t="shared" si="305"/>
        <v>0</v>
      </c>
      <c r="I1686" s="1689">
        <f t="shared" si="306"/>
        <v>0</v>
      </c>
      <c r="J1686" s="1689"/>
      <c r="K1686" s="1689"/>
      <c r="L1686" s="1689"/>
      <c r="M1686" s="1689"/>
      <c r="N1686" s="1689"/>
      <c r="O1686" s="1689"/>
      <c r="P1686" s="1689">
        <f t="shared" si="300"/>
        <v>0</v>
      </c>
      <c r="Q1686" s="985"/>
      <c r="R1686" s="985"/>
      <c r="S1686" s="985"/>
      <c r="T1686" s="1858">
        <f t="shared" si="303"/>
        <v>0</v>
      </c>
    </row>
    <row r="1687" spans="1:20" ht="22.2" hidden="1" customHeight="1">
      <c r="A1687" s="1444">
        <f>COUNTIF($C$12:C1687,"x")</f>
        <v>43</v>
      </c>
      <c r="B1687" s="1451" t="s">
        <v>1267</v>
      </c>
      <c r="C1687" s="966" t="str">
        <f t="shared" si="304"/>
        <v xml:space="preserve"> </v>
      </c>
      <c r="D1687" s="1411">
        <f>D1686*2</f>
        <v>0</v>
      </c>
      <c r="E1687" s="976"/>
      <c r="F1687" s="988" t="str">
        <f>VLOOKUP($B1687,DG!A:D,DG!$C$2,)</f>
        <v>Sứ treo loại 70kN</v>
      </c>
      <c r="G1687" s="976" t="str">
        <f>VLOOKUP($B1687,DG!A:D,DG!$D$2,)</f>
        <v>bát</v>
      </c>
      <c r="H1687" s="1689">
        <f t="shared" si="305"/>
        <v>0</v>
      </c>
      <c r="I1687" s="1689">
        <f t="shared" si="306"/>
        <v>0</v>
      </c>
      <c r="J1687" s="1689"/>
      <c r="K1687" s="1689"/>
      <c r="L1687" s="1689"/>
      <c r="M1687" s="1689"/>
      <c r="N1687" s="1689"/>
      <c r="O1687" s="1689"/>
      <c r="P1687" s="1689">
        <f t="shared" si="300"/>
        <v>0</v>
      </c>
      <c r="Q1687" s="985"/>
      <c r="R1687" s="985"/>
      <c r="S1687" s="985"/>
      <c r="T1687" s="1858">
        <f t="shared" si="303"/>
        <v>0</v>
      </c>
    </row>
    <row r="1688" spans="1:20" ht="22.2" hidden="1" customHeight="1">
      <c r="A1688" s="1444">
        <f>COUNTIF($C$12:C1688,"x")</f>
        <v>43</v>
      </c>
      <c r="B1688" s="1451" t="s">
        <v>1486</v>
      </c>
      <c r="C1688" s="966" t="str">
        <f t="shared" si="304"/>
        <v xml:space="preserve"> </v>
      </c>
      <c r="D1688" s="1411">
        <f>D1686*2</f>
        <v>0</v>
      </c>
      <c r="E1688" s="976"/>
      <c r="F1688" s="988" t="str">
        <f>VLOOKUP($B1688,DG!A:D,DG!$C$2,)</f>
        <v xml:space="preserve">Móc treo chữ U </v>
      </c>
      <c r="G1688" s="976" t="str">
        <f>VLOOKUP($B1688,DG!A:D,DG!$D$2,)</f>
        <v>cái</v>
      </c>
      <c r="H1688" s="1689">
        <f t="shared" si="305"/>
        <v>0</v>
      </c>
      <c r="I1688" s="1689">
        <f t="shared" si="306"/>
        <v>0</v>
      </c>
      <c r="J1688" s="1689"/>
      <c r="K1688" s="1689"/>
      <c r="L1688" s="1689"/>
      <c r="M1688" s="1689"/>
      <c r="N1688" s="1689"/>
      <c r="O1688" s="1689"/>
      <c r="P1688" s="1689">
        <f t="shared" si="300"/>
        <v>0</v>
      </c>
      <c r="Q1688" s="985"/>
      <c r="R1688" s="985"/>
      <c r="S1688" s="985"/>
      <c r="T1688" s="1858">
        <f t="shared" si="303"/>
        <v>0</v>
      </c>
    </row>
    <row r="1689" spans="1:20" ht="22.2" hidden="1" customHeight="1">
      <c r="A1689" s="1444">
        <f>COUNTIF($C$12:C1689,"x")</f>
        <v>43</v>
      </c>
      <c r="B1689" s="1451" t="s">
        <v>1569</v>
      </c>
      <c r="C1689" s="966" t="str">
        <f t="shared" si="304"/>
        <v xml:space="preserve"> </v>
      </c>
      <c r="D1689" s="1411">
        <f>D1686</f>
        <v>0</v>
      </c>
      <c r="E1689" s="976"/>
      <c r="F1689" s="988" t="str">
        <f>VLOOKUP($B1689,DG!A:D,DG!$C$2,)</f>
        <v>Vòng treo đầu tròn</v>
      </c>
      <c r="G1689" s="976" t="str">
        <f>VLOOKUP($B1689,DG!A:D,DG!$D$2,)</f>
        <v>cái</v>
      </c>
      <c r="H1689" s="1689">
        <f t="shared" si="305"/>
        <v>0</v>
      </c>
      <c r="I1689" s="1689">
        <f t="shared" si="306"/>
        <v>0</v>
      </c>
      <c r="J1689" s="1689"/>
      <c r="K1689" s="1689"/>
      <c r="L1689" s="1689"/>
      <c r="M1689" s="1689"/>
      <c r="N1689" s="1689"/>
      <c r="O1689" s="1689"/>
      <c r="P1689" s="1689">
        <f t="shared" si="300"/>
        <v>0</v>
      </c>
      <c r="Q1689" s="985"/>
      <c r="R1689" s="985"/>
      <c r="S1689" s="985"/>
      <c r="T1689" s="1858">
        <f t="shared" si="303"/>
        <v>0</v>
      </c>
    </row>
    <row r="1690" spans="1:20" ht="22.2" hidden="1" customHeight="1">
      <c r="A1690" s="1444">
        <f>COUNTIF($C$12:C1690,"x")</f>
        <v>43</v>
      </c>
      <c r="B1690" s="1451" t="s">
        <v>1484</v>
      </c>
      <c r="C1690" s="966" t="str">
        <f t="shared" si="304"/>
        <v xml:space="preserve"> </v>
      </c>
      <c r="D1690" s="1411">
        <f>D1686</f>
        <v>0</v>
      </c>
      <c r="E1690" s="976"/>
      <c r="F1690" s="988" t="str">
        <f>VLOOKUP($B1690,DG!A:D,DG!$C$2,)</f>
        <v>Mắt nối đơn</v>
      </c>
      <c r="G1690" s="976" t="str">
        <f>VLOOKUP($B1690,DG!A:D,DG!$D$2,)</f>
        <v>cái</v>
      </c>
      <c r="H1690" s="1689">
        <f t="shared" si="305"/>
        <v>0</v>
      </c>
      <c r="I1690" s="1689">
        <f t="shared" si="306"/>
        <v>0</v>
      </c>
      <c r="J1690" s="1689"/>
      <c r="K1690" s="1689"/>
      <c r="L1690" s="1689"/>
      <c r="M1690" s="1689"/>
      <c r="N1690" s="1689"/>
      <c r="O1690" s="1689"/>
      <c r="P1690" s="1689">
        <f t="shared" si="300"/>
        <v>0</v>
      </c>
      <c r="Q1690" s="985"/>
      <c r="R1690" s="985"/>
      <c r="S1690" s="985"/>
      <c r="T1690" s="1858">
        <f t="shared" si="303"/>
        <v>0</v>
      </c>
    </row>
    <row r="1691" spans="1:20" ht="22.2" hidden="1" customHeight="1">
      <c r="A1691" s="1444">
        <f>COUNTIF($C$12:C1691,"x")</f>
        <v>43</v>
      </c>
      <c r="B1691" s="1451" t="s">
        <v>1268</v>
      </c>
      <c r="C1691" s="966" t="str">
        <f t="shared" si="304"/>
        <v xml:space="preserve"> </v>
      </c>
      <c r="D1691" s="1411">
        <f>D1686</f>
        <v>0</v>
      </c>
      <c r="E1691" s="976"/>
      <c r="F1691" s="988" t="str">
        <f>VLOOKUP($B1691,DG!A:D,DG!$C$2,)</f>
        <v>Boulon mắt 16x300+ 2 long đền vuông D18-50x50x3/Zn</v>
      </c>
      <c r="G1691" s="976" t="str">
        <f>VLOOKUP($B1691,DG!A:D,DG!$D$2,)</f>
        <v>bộ</v>
      </c>
      <c r="H1691" s="1689">
        <f t="shared" si="305"/>
        <v>0</v>
      </c>
      <c r="I1691" s="1689">
        <f t="shared" si="306"/>
        <v>0</v>
      </c>
      <c r="J1691" s="1689"/>
      <c r="K1691" s="1689"/>
      <c r="L1691" s="1689"/>
      <c r="M1691" s="1689"/>
      <c r="N1691" s="1689"/>
      <c r="O1691" s="1689"/>
      <c r="P1691" s="1689">
        <f t="shared" si="300"/>
        <v>0</v>
      </c>
      <c r="Q1691" s="985"/>
      <c r="R1691" s="985"/>
      <c r="S1691" s="985"/>
      <c r="T1691" s="1858">
        <f t="shared" si="303"/>
        <v>0</v>
      </c>
    </row>
    <row r="1692" spans="1:20" ht="22.2" hidden="1" customHeight="1">
      <c r="A1692" s="1444">
        <f>COUNTIF($C$12:C1692,"x")</f>
        <v>43</v>
      </c>
      <c r="B1692" s="1468" t="s">
        <v>2529</v>
      </c>
      <c r="C1692" s="966" t="str">
        <f t="shared" si="304"/>
        <v xml:space="preserve"> </v>
      </c>
      <c r="D1692" s="1424"/>
      <c r="E1692" s="1284"/>
      <c r="F1692" s="994" t="s">
        <v>2530</v>
      </c>
      <c r="G1692" s="995" t="s">
        <v>2512</v>
      </c>
      <c r="H1692" s="1689">
        <f t="shared" si="305"/>
        <v>0</v>
      </c>
      <c r="I1692" s="1689">
        <f t="shared" si="306"/>
        <v>0</v>
      </c>
      <c r="J1692" s="1689"/>
      <c r="K1692" s="1689"/>
      <c r="L1692" s="1689"/>
      <c r="M1692" s="1689"/>
      <c r="N1692" s="1689"/>
      <c r="O1692" s="1689"/>
      <c r="P1692" s="1689">
        <f t="shared" si="300"/>
        <v>0</v>
      </c>
      <c r="Q1692" s="985"/>
      <c r="R1692" s="985"/>
      <c r="S1692" s="985"/>
      <c r="T1692" s="1858">
        <f t="shared" si="303"/>
        <v>0</v>
      </c>
    </row>
    <row r="1693" spans="1:20" ht="22.2" hidden="1" customHeight="1">
      <c r="A1693" s="1444">
        <f>COUNTIF($C$12:C1693,"x")</f>
        <v>43</v>
      </c>
      <c r="B1693" s="1451" t="s">
        <v>112</v>
      </c>
      <c r="C1693" s="966" t="str">
        <f t="shared" si="304"/>
        <v xml:space="preserve"> </v>
      </c>
      <c r="D1693" s="1411">
        <f>D1692*2</f>
        <v>0</v>
      </c>
      <c r="E1693" s="976"/>
      <c r="F1693" s="988" t="str">
        <f>VLOOKUP($B1693,DG!A:D,DG!$C$2,)</f>
        <v>Sứ treo loại 70kN</v>
      </c>
      <c r="G1693" s="976" t="str">
        <f>VLOOKUP($B1693,DG!A:D,DG!$D$2,)</f>
        <v>bát</v>
      </c>
      <c r="H1693" s="1689">
        <f t="shared" si="305"/>
        <v>0</v>
      </c>
      <c r="I1693" s="1689">
        <f t="shared" si="306"/>
        <v>0</v>
      </c>
      <c r="J1693" s="1689"/>
      <c r="K1693" s="1689"/>
      <c r="L1693" s="1689"/>
      <c r="M1693" s="1689"/>
      <c r="N1693" s="1689"/>
      <c r="O1693" s="1689"/>
      <c r="P1693" s="1689">
        <f t="shared" si="300"/>
        <v>0</v>
      </c>
      <c r="Q1693" s="985"/>
      <c r="R1693" s="985"/>
      <c r="S1693" s="985"/>
      <c r="T1693" s="1858">
        <f t="shared" si="303"/>
        <v>0</v>
      </c>
    </row>
    <row r="1694" spans="1:20" ht="22.2" hidden="1" customHeight="1">
      <c r="A1694" s="1444">
        <f>COUNTIF($C$12:C1694,"x")</f>
        <v>43</v>
      </c>
      <c r="B1694" s="1451" t="s">
        <v>1486</v>
      </c>
      <c r="C1694" s="966" t="str">
        <f t="shared" si="304"/>
        <v xml:space="preserve"> </v>
      </c>
      <c r="D1694" s="1411">
        <f>D1692*2</f>
        <v>0</v>
      </c>
      <c r="E1694" s="976"/>
      <c r="F1694" s="988" t="str">
        <f>VLOOKUP($B1694,DG!A:D,DG!$C$2,)</f>
        <v xml:space="preserve">Móc treo chữ U </v>
      </c>
      <c r="G1694" s="976" t="str">
        <f>VLOOKUP($B1694,DG!A:D,DG!$D$2,)</f>
        <v>cái</v>
      </c>
      <c r="H1694" s="1689">
        <f t="shared" si="305"/>
        <v>0</v>
      </c>
      <c r="I1694" s="1689">
        <f t="shared" si="306"/>
        <v>0</v>
      </c>
      <c r="J1694" s="1689"/>
      <c r="K1694" s="1689"/>
      <c r="L1694" s="1689"/>
      <c r="M1694" s="1689"/>
      <c r="N1694" s="1689"/>
      <c r="O1694" s="1689"/>
      <c r="P1694" s="1689">
        <f t="shared" si="300"/>
        <v>0</v>
      </c>
      <c r="Q1694" s="985"/>
      <c r="R1694" s="985"/>
      <c r="S1694" s="985"/>
      <c r="T1694" s="1858">
        <f t="shared" si="303"/>
        <v>0</v>
      </c>
    </row>
    <row r="1695" spans="1:20" ht="22.2" hidden="1" customHeight="1">
      <c r="A1695" s="1444">
        <f>COUNTIF($C$12:C1695,"x")</f>
        <v>43</v>
      </c>
      <c r="B1695" s="1468" t="s">
        <v>2513</v>
      </c>
      <c r="C1695" s="966" t="str">
        <f t="shared" si="304"/>
        <v xml:space="preserve"> </v>
      </c>
      <c r="D1695" s="1424">
        <f>'pp3p2m '!CQ82</f>
        <v>0</v>
      </c>
      <c r="E1695" s="976"/>
      <c r="F1695" s="994" t="s">
        <v>2531</v>
      </c>
      <c r="G1695" s="995" t="s">
        <v>2512</v>
      </c>
      <c r="H1695" s="1689">
        <f t="shared" si="305"/>
        <v>0</v>
      </c>
      <c r="I1695" s="1689">
        <f t="shared" si="306"/>
        <v>0</v>
      </c>
      <c r="J1695" s="1689"/>
      <c r="K1695" s="1689"/>
      <c r="L1695" s="1689"/>
      <c r="M1695" s="1689"/>
      <c r="N1695" s="1689"/>
      <c r="O1695" s="1689"/>
      <c r="P1695" s="1689">
        <f t="shared" si="300"/>
        <v>0</v>
      </c>
      <c r="Q1695" s="985"/>
      <c r="R1695" s="985"/>
      <c r="S1695" s="985"/>
      <c r="T1695" s="1858">
        <f t="shared" si="303"/>
        <v>0</v>
      </c>
    </row>
    <row r="1696" spans="1:20" ht="22.2" hidden="1" customHeight="1">
      <c r="A1696" s="1444">
        <f>COUNTIF($C$12:C1696,"x")</f>
        <v>43</v>
      </c>
      <c r="B1696" s="1451" t="s">
        <v>1506</v>
      </c>
      <c r="C1696" s="966" t="str">
        <f t="shared" si="304"/>
        <v xml:space="preserve"> </v>
      </c>
      <c r="D1696" s="1411">
        <f>D1695</f>
        <v>0</v>
      </c>
      <c r="E1696" s="976"/>
      <c r="F1696" s="988" t="str">
        <f>VLOOKUP($B1696,DG!A:D,DG!$C$2,)</f>
        <v>Sứ treo polymer</v>
      </c>
      <c r="G1696" s="976" t="str">
        <f>VLOOKUP($B1696,DG!A:D,DG!$D$2,)</f>
        <v>chuỗi</v>
      </c>
      <c r="H1696" s="1689">
        <f t="shared" si="305"/>
        <v>0</v>
      </c>
      <c r="I1696" s="1689">
        <f t="shared" si="306"/>
        <v>0</v>
      </c>
      <c r="J1696" s="1689"/>
      <c r="K1696" s="1689"/>
      <c r="L1696" s="1689"/>
      <c r="M1696" s="1689"/>
      <c r="N1696" s="1689"/>
      <c r="O1696" s="1689"/>
      <c r="P1696" s="1689">
        <f t="shared" si="300"/>
        <v>0</v>
      </c>
      <c r="Q1696" s="985"/>
      <c r="R1696" s="985"/>
      <c r="S1696" s="985"/>
      <c r="T1696" s="1858">
        <f t="shared" si="303"/>
        <v>0</v>
      </c>
    </row>
    <row r="1697" spans="1:20" ht="22.2" hidden="1" customHeight="1">
      <c r="A1697" s="1444">
        <f>COUNTIF($C$12:C1697,"x")</f>
        <v>43</v>
      </c>
      <c r="B1697" s="1451" t="s">
        <v>1486</v>
      </c>
      <c r="C1697" s="966" t="str">
        <f t="shared" si="304"/>
        <v xml:space="preserve"> </v>
      </c>
      <c r="D1697" s="1411">
        <f>D1695*2</f>
        <v>0</v>
      </c>
      <c r="E1697" s="976"/>
      <c r="F1697" s="988" t="str">
        <f>VLOOKUP($B1697,DG!A:D,DG!$C$2,)</f>
        <v xml:space="preserve">Móc treo chữ U </v>
      </c>
      <c r="G1697" s="976" t="str">
        <f>VLOOKUP($B1697,DG!A:D,DG!$D$2,)</f>
        <v>cái</v>
      </c>
      <c r="H1697" s="1689">
        <f t="shared" si="305"/>
        <v>0</v>
      </c>
      <c r="I1697" s="1689">
        <f t="shared" si="306"/>
        <v>0</v>
      </c>
      <c r="J1697" s="1689"/>
      <c r="K1697" s="1689"/>
      <c r="L1697" s="1689"/>
      <c r="M1697" s="1689"/>
      <c r="N1697" s="1689"/>
      <c r="O1697" s="1689"/>
      <c r="P1697" s="1689">
        <f t="shared" si="300"/>
        <v>0</v>
      </c>
      <c r="Q1697" s="985"/>
      <c r="R1697" s="985"/>
      <c r="S1697" s="985"/>
      <c r="T1697" s="1858">
        <f t="shared" si="303"/>
        <v>0</v>
      </c>
    </row>
    <row r="1698" spans="1:20" ht="22.2" hidden="1" customHeight="1">
      <c r="A1698" s="1444">
        <f>COUNTIF($C$12:C1698,"x")</f>
        <v>43</v>
      </c>
      <c r="B1698" s="1451" t="s">
        <v>1569</v>
      </c>
      <c r="C1698" s="966" t="str">
        <f t="shared" si="304"/>
        <v xml:space="preserve"> </v>
      </c>
      <c r="D1698" s="1411">
        <f>D1695</f>
        <v>0</v>
      </c>
      <c r="E1698" s="976"/>
      <c r="F1698" s="988" t="str">
        <f>VLOOKUP($B1698,DG!A:D,DG!$C$2,)</f>
        <v>Vòng treo đầu tròn</v>
      </c>
      <c r="G1698" s="976" t="str">
        <f>VLOOKUP($B1698,DG!A:D,DG!$D$2,)</f>
        <v>cái</v>
      </c>
      <c r="H1698" s="1689">
        <f t="shared" si="305"/>
        <v>0</v>
      </c>
      <c r="I1698" s="1689">
        <f t="shared" si="306"/>
        <v>0</v>
      </c>
      <c r="J1698" s="1689"/>
      <c r="K1698" s="1689"/>
      <c r="L1698" s="1689"/>
      <c r="M1698" s="1689"/>
      <c r="N1698" s="1689"/>
      <c r="O1698" s="1689"/>
      <c r="P1698" s="1689">
        <f t="shared" si="300"/>
        <v>0</v>
      </c>
      <c r="Q1698" s="985"/>
      <c r="R1698" s="985"/>
      <c r="S1698" s="985"/>
      <c r="T1698" s="1858">
        <f t="shared" si="303"/>
        <v>0</v>
      </c>
    </row>
    <row r="1699" spans="1:20" ht="22.2" hidden="1" customHeight="1">
      <c r="A1699" s="1444">
        <f>COUNTIF($C$12:C1699,"x")</f>
        <v>43</v>
      </c>
      <c r="B1699" s="1451" t="s">
        <v>1484</v>
      </c>
      <c r="C1699" s="966" t="str">
        <f t="shared" si="304"/>
        <v xml:space="preserve"> </v>
      </c>
      <c r="D1699" s="1411">
        <f>D1695</f>
        <v>0</v>
      </c>
      <c r="E1699" s="976"/>
      <c r="F1699" s="988" t="str">
        <f>VLOOKUP($B1699,DG!A:D,DG!$C$2,)</f>
        <v>Mắt nối đơn</v>
      </c>
      <c r="G1699" s="976" t="str">
        <f>VLOOKUP($B1699,DG!A:D,DG!$D$2,)</f>
        <v>cái</v>
      </c>
      <c r="H1699" s="1689">
        <f t="shared" si="305"/>
        <v>0</v>
      </c>
      <c r="I1699" s="1689">
        <f t="shared" si="306"/>
        <v>0</v>
      </c>
      <c r="J1699" s="1689"/>
      <c r="K1699" s="1689"/>
      <c r="L1699" s="1689"/>
      <c r="M1699" s="1689"/>
      <c r="N1699" s="1689"/>
      <c r="O1699" s="1689"/>
      <c r="P1699" s="1689">
        <f t="shared" si="300"/>
        <v>0</v>
      </c>
      <c r="Q1699" s="985"/>
      <c r="R1699" s="985"/>
      <c r="S1699" s="985"/>
      <c r="T1699" s="1858">
        <f t="shared" si="303"/>
        <v>0</v>
      </c>
    </row>
    <row r="1700" spans="1:20" ht="22.2" hidden="1" customHeight="1">
      <c r="A1700" s="1444">
        <f>COUNTIF($C$12:C1700,"x")</f>
        <v>43</v>
      </c>
      <c r="B1700" s="1473" t="s">
        <v>544</v>
      </c>
      <c r="C1700" s="966" t="str">
        <f t="shared" si="304"/>
        <v xml:space="preserve"> </v>
      </c>
      <c r="D1700" s="1411">
        <f>'pp3p2m '!EB82</f>
        <v>0</v>
      </c>
      <c r="E1700" s="976"/>
      <c r="F1700" s="988" t="str">
        <f>VLOOKUP($B1700,DG!A:D,DG!$C$2,)</f>
        <v>Giáp níu dừng dây bọc ACX50</v>
      </c>
      <c r="G1700" s="976" t="str">
        <f>VLOOKUP($B1700,DG!A:D,DG!$D$2,)</f>
        <v>cái</v>
      </c>
      <c r="H1700" s="1689">
        <f t="shared" si="305"/>
        <v>0</v>
      </c>
      <c r="I1700" s="1689">
        <f t="shared" si="306"/>
        <v>0</v>
      </c>
      <c r="J1700" s="1689"/>
      <c r="K1700" s="1689"/>
      <c r="L1700" s="1689"/>
      <c r="M1700" s="1689"/>
      <c r="N1700" s="1689"/>
      <c r="O1700" s="1689"/>
      <c r="P1700" s="1689">
        <f t="shared" si="300"/>
        <v>0</v>
      </c>
      <c r="Q1700" s="985"/>
      <c r="R1700" s="985"/>
      <c r="S1700" s="985"/>
      <c r="T1700" s="1858">
        <f t="shared" si="303"/>
        <v>0</v>
      </c>
    </row>
    <row r="1701" spans="1:20" ht="22.2" hidden="1" customHeight="1">
      <c r="A1701" s="1444">
        <f>COUNTIF($C$12:C1701,"x")</f>
        <v>43</v>
      </c>
      <c r="B1701" s="1456" t="s">
        <v>1144</v>
      </c>
      <c r="C1701" s="966" t="str">
        <f t="shared" si="304"/>
        <v xml:space="preserve"> </v>
      </c>
      <c r="D1701" s="1424">
        <f>HLOOKUP(B1701,'pp3p2m '!$EE$81:$EK$82,2,)</f>
        <v>0</v>
      </c>
      <c r="E1701" s="976"/>
      <c r="F1701" s="988" t="str">
        <f>VLOOKUP($B1701,DG!A:D,DG!$C$2,)</f>
        <v>Khóa đỡ dây cỡ dây 240</v>
      </c>
      <c r="G1701" s="976" t="str">
        <f>VLOOKUP($B1701,DG!A:D,DG!$D$2,)</f>
        <v>cái</v>
      </c>
      <c r="H1701" s="1689">
        <f t="shared" si="305"/>
        <v>0</v>
      </c>
      <c r="I1701" s="1689">
        <f t="shared" si="306"/>
        <v>0</v>
      </c>
      <c r="J1701" s="1689"/>
      <c r="K1701" s="1689"/>
      <c r="L1701" s="1689"/>
      <c r="M1701" s="1689"/>
      <c r="N1701" s="1689"/>
      <c r="O1701" s="1689"/>
      <c r="P1701" s="1689">
        <f t="shared" si="300"/>
        <v>0</v>
      </c>
      <c r="Q1701" s="985"/>
      <c r="R1701" s="985"/>
      <c r="S1701" s="985"/>
      <c r="T1701" s="1858">
        <f t="shared" si="303"/>
        <v>0</v>
      </c>
    </row>
    <row r="1702" spans="1:20" ht="22.2" hidden="1" customHeight="1">
      <c r="A1702" s="1444">
        <f>COUNTIF($C$12:C1702,"x")</f>
        <v>43</v>
      </c>
      <c r="B1702" s="1456" t="s">
        <v>1143</v>
      </c>
      <c r="C1702" s="966" t="str">
        <f t="shared" si="304"/>
        <v xml:space="preserve"> </v>
      </c>
      <c r="D1702" s="1424">
        <f>HLOOKUP(B1702,'pp3p2m '!$EE$81:$EK$82,2,)</f>
        <v>0</v>
      </c>
      <c r="E1702" s="976"/>
      <c r="F1702" s="988" t="str">
        <f>VLOOKUP($B1702,DG!A:D,DG!$C$2,)</f>
        <v>Khóa đỡ dây cỡ dây 185</v>
      </c>
      <c r="G1702" s="976" t="str">
        <f>VLOOKUP($B1702,DG!A:D,DG!$D$2,)</f>
        <v>cái</v>
      </c>
      <c r="H1702" s="1689">
        <f t="shared" si="305"/>
        <v>0</v>
      </c>
      <c r="I1702" s="1689">
        <f t="shared" si="306"/>
        <v>0</v>
      </c>
      <c r="J1702" s="1689"/>
      <c r="K1702" s="1689"/>
      <c r="L1702" s="1689"/>
      <c r="M1702" s="1689"/>
      <c r="N1702" s="1689"/>
      <c r="O1702" s="1689"/>
      <c r="P1702" s="1689">
        <f t="shared" si="300"/>
        <v>0</v>
      </c>
      <c r="Q1702" s="985"/>
      <c r="R1702" s="985"/>
      <c r="S1702" s="985"/>
      <c r="T1702" s="1858">
        <f t="shared" si="303"/>
        <v>0</v>
      </c>
    </row>
    <row r="1703" spans="1:20" ht="22.2" hidden="1" customHeight="1">
      <c r="A1703" s="1444">
        <f>COUNTIF($C$12:C1703,"x")</f>
        <v>43</v>
      </c>
      <c r="B1703" s="1456" t="s">
        <v>1142</v>
      </c>
      <c r="C1703" s="966" t="str">
        <f t="shared" si="304"/>
        <v xml:space="preserve"> </v>
      </c>
      <c r="D1703" s="1424">
        <f>HLOOKUP(B1703,'pp3p2m '!$EE$81:$EK$82,2,)</f>
        <v>0</v>
      </c>
      <c r="E1703" s="976"/>
      <c r="F1703" s="988" t="str">
        <f>VLOOKUP($B1703,DG!A:D,DG!$C$2,)</f>
        <v>Khóa đỡ dây cỡ dây 150</v>
      </c>
      <c r="G1703" s="976" t="str">
        <f>VLOOKUP($B1703,DG!A:D,DG!$D$2,)</f>
        <v>cái</v>
      </c>
      <c r="H1703" s="1689">
        <f t="shared" si="305"/>
        <v>0</v>
      </c>
      <c r="I1703" s="1689">
        <f t="shared" si="306"/>
        <v>0</v>
      </c>
      <c r="J1703" s="1689"/>
      <c r="K1703" s="1689"/>
      <c r="L1703" s="1689"/>
      <c r="M1703" s="1689"/>
      <c r="N1703" s="1689"/>
      <c r="O1703" s="1689"/>
      <c r="P1703" s="1689">
        <f t="shared" si="300"/>
        <v>0</v>
      </c>
      <c r="Q1703" s="985"/>
      <c r="R1703" s="985"/>
      <c r="S1703" s="985"/>
      <c r="T1703" s="1858">
        <f t="shared" si="303"/>
        <v>0</v>
      </c>
    </row>
    <row r="1704" spans="1:20" ht="22.2" hidden="1" customHeight="1">
      <c r="A1704" s="1444">
        <f>COUNTIF($C$12:C1704,"x")</f>
        <v>43</v>
      </c>
      <c r="B1704" s="1456" t="s">
        <v>1141</v>
      </c>
      <c r="C1704" s="966" t="str">
        <f t="shared" si="304"/>
        <v xml:space="preserve"> </v>
      </c>
      <c r="D1704" s="1424">
        <f>HLOOKUP(B1704,'pp3p2m '!$EE$81:$EK$82,2,)</f>
        <v>0</v>
      </c>
      <c r="E1704" s="976"/>
      <c r="F1704" s="988" t="str">
        <f>VLOOKUP($B1704,DG!A:D,DG!$C$2,)</f>
        <v>Khóa đỡ dây cỡ dây 120</v>
      </c>
      <c r="G1704" s="976" t="str">
        <f>VLOOKUP($B1704,DG!A:D,DG!$D$2,)</f>
        <v>cái</v>
      </c>
      <c r="H1704" s="1689">
        <f t="shared" si="305"/>
        <v>0</v>
      </c>
      <c r="I1704" s="1689">
        <f t="shared" si="306"/>
        <v>0</v>
      </c>
      <c r="J1704" s="1689"/>
      <c r="K1704" s="1689"/>
      <c r="L1704" s="1689"/>
      <c r="M1704" s="1689"/>
      <c r="N1704" s="1689"/>
      <c r="O1704" s="1689"/>
      <c r="P1704" s="1689">
        <f t="shared" si="300"/>
        <v>0</v>
      </c>
      <c r="Q1704" s="985"/>
      <c r="R1704" s="985"/>
      <c r="S1704" s="985"/>
      <c r="T1704" s="1858">
        <f t="shared" si="303"/>
        <v>0</v>
      </c>
    </row>
    <row r="1705" spans="1:20" ht="22.2" hidden="1" customHeight="1">
      <c r="A1705" s="1444">
        <f>COUNTIF($C$12:C1705,"x")</f>
        <v>43</v>
      </c>
      <c r="B1705" s="1456" t="s">
        <v>101</v>
      </c>
      <c r="C1705" s="966" t="str">
        <f t="shared" si="304"/>
        <v xml:space="preserve"> </v>
      </c>
      <c r="D1705" s="1424">
        <f>HLOOKUP(B1705,'pp3p2m '!$EE$81:$EK$82,2,)</f>
        <v>0</v>
      </c>
      <c r="E1705" s="976"/>
      <c r="F1705" s="988" t="str">
        <f>VLOOKUP($B1705,DG!A:D,DG!$C$2,)</f>
        <v>Khóa đỡ dây cỡ dây 95</v>
      </c>
      <c r="G1705" s="976" t="str">
        <f>VLOOKUP($B1705,DG!A:D,DG!$D$2,)</f>
        <v>cái</v>
      </c>
      <c r="H1705" s="1689">
        <f t="shared" si="305"/>
        <v>0</v>
      </c>
      <c r="I1705" s="1689">
        <f t="shared" si="306"/>
        <v>0</v>
      </c>
      <c r="J1705" s="1689"/>
      <c r="K1705" s="1689"/>
      <c r="L1705" s="1689"/>
      <c r="M1705" s="1689"/>
      <c r="N1705" s="1689"/>
      <c r="O1705" s="1689"/>
      <c r="P1705" s="1689">
        <f t="shared" ref="P1705:P1771" si="307">H1705+Q1705-R1705</f>
        <v>0</v>
      </c>
      <c r="Q1705" s="985"/>
      <c r="R1705" s="985"/>
      <c r="S1705" s="985"/>
      <c r="T1705" s="1858">
        <f t="shared" si="303"/>
        <v>0</v>
      </c>
    </row>
    <row r="1706" spans="1:20" ht="22.2" hidden="1" customHeight="1">
      <c r="A1706" s="1444">
        <f>COUNTIF($C$12:C1706,"x")</f>
        <v>43</v>
      </c>
      <c r="B1706" s="1456" t="s">
        <v>1481</v>
      </c>
      <c r="C1706" s="966" t="str">
        <f t="shared" si="304"/>
        <v xml:space="preserve"> </v>
      </c>
      <c r="D1706" s="1424">
        <f>HLOOKUP(B1706,'pp3p2m '!$EE$81:$EK$82,2,)</f>
        <v>0</v>
      </c>
      <c r="E1706" s="976"/>
      <c r="F1706" s="988" t="str">
        <f>VLOOKUP($B1706,DG!A:D,DG!$C$2,)</f>
        <v>Khóa đỡ dây cỡ dây 70</v>
      </c>
      <c r="G1706" s="976" t="str">
        <f>VLOOKUP($B1706,DG!A:D,DG!$D$2,)</f>
        <v>cái</v>
      </c>
      <c r="H1706" s="1689">
        <f t="shared" si="305"/>
        <v>0</v>
      </c>
      <c r="I1706" s="1689">
        <f t="shared" si="306"/>
        <v>0</v>
      </c>
      <c r="J1706" s="1689"/>
      <c r="K1706" s="1689"/>
      <c r="L1706" s="1689"/>
      <c r="M1706" s="1689"/>
      <c r="N1706" s="1689"/>
      <c r="O1706" s="1689"/>
      <c r="P1706" s="1689">
        <f t="shared" si="307"/>
        <v>0</v>
      </c>
      <c r="Q1706" s="985"/>
      <c r="R1706" s="985"/>
      <c r="S1706" s="985"/>
      <c r="T1706" s="1858">
        <f t="shared" si="303"/>
        <v>0</v>
      </c>
    </row>
    <row r="1707" spans="1:20" ht="22.2" hidden="1" customHeight="1">
      <c r="A1707" s="1444">
        <f>COUNTIF($C$12:C1707,"x")</f>
        <v>43</v>
      </c>
      <c r="B1707" s="1456" t="s">
        <v>1175</v>
      </c>
      <c r="C1707" s="966" t="str">
        <f t="shared" si="304"/>
        <v xml:space="preserve"> </v>
      </c>
      <c r="D1707" s="1424">
        <f>HLOOKUP(B1707,'pp3p2m '!$EE$81:$EK$82,2,)</f>
        <v>0</v>
      </c>
      <c r="E1707" s="976"/>
      <c r="F1707" s="988" t="str">
        <f>VLOOKUP($B1707,DG!A:D,DG!$C$2,)</f>
        <v>Khóa đỡ dây cỡ dây 50</v>
      </c>
      <c r="G1707" s="976" t="str">
        <f>VLOOKUP($B1707,DG!A:D,DG!$D$2,)</f>
        <v>cái</v>
      </c>
      <c r="H1707" s="1689">
        <f t="shared" si="305"/>
        <v>0</v>
      </c>
      <c r="I1707" s="1689">
        <f t="shared" si="306"/>
        <v>0</v>
      </c>
      <c r="J1707" s="1689"/>
      <c r="K1707" s="1689"/>
      <c r="L1707" s="1689"/>
      <c r="M1707" s="1689"/>
      <c r="N1707" s="1689"/>
      <c r="O1707" s="1689"/>
      <c r="P1707" s="1689">
        <f t="shared" si="307"/>
        <v>0</v>
      </c>
      <c r="Q1707" s="985"/>
      <c r="R1707" s="985"/>
      <c r="S1707" s="985"/>
      <c r="T1707" s="1858">
        <f t="shared" si="303"/>
        <v>0</v>
      </c>
    </row>
    <row r="1708" spans="1:20" ht="22.2" hidden="1" customHeight="1">
      <c r="A1708" s="1444">
        <f>COUNTIF($C$12:C1708,"x")</f>
        <v>43</v>
      </c>
      <c r="B1708" s="1456" t="s">
        <v>1741</v>
      </c>
      <c r="C1708" s="966" t="str">
        <f t="shared" si="304"/>
        <v xml:space="preserve"> </v>
      </c>
      <c r="D1708" s="1411">
        <f>'pp3p2m '!CT82</f>
        <v>0</v>
      </c>
      <c r="E1708" s="976"/>
      <c r="F1708" s="988" t="str">
        <f>VLOOKUP($B1708,DG!A:D,DG!$C$2,)</f>
        <v>Khóa néo dây cỡ dây 240</v>
      </c>
      <c r="G1708" s="976" t="str">
        <f>VLOOKUP($B1708,DG!A:D,DG!$D$2,)</f>
        <v>cái</v>
      </c>
      <c r="H1708" s="1689">
        <f t="shared" si="305"/>
        <v>0</v>
      </c>
      <c r="I1708" s="1689">
        <f t="shared" si="306"/>
        <v>0</v>
      </c>
      <c r="J1708" s="1689"/>
      <c r="K1708" s="1689"/>
      <c r="L1708" s="1689"/>
      <c r="M1708" s="1689"/>
      <c r="N1708" s="1689"/>
      <c r="O1708" s="1689"/>
      <c r="P1708" s="1689">
        <f t="shared" si="307"/>
        <v>0</v>
      </c>
      <c r="Q1708" s="985"/>
      <c r="R1708" s="985"/>
      <c r="S1708" s="985"/>
      <c r="T1708" s="1858">
        <f t="shared" si="303"/>
        <v>0</v>
      </c>
    </row>
    <row r="1709" spans="1:20" ht="22.2" hidden="1" customHeight="1">
      <c r="A1709" s="1444">
        <f>COUNTIF($C$12:C1709,"x")</f>
        <v>43</v>
      </c>
      <c r="B1709" s="1456" t="s">
        <v>1742</v>
      </c>
      <c r="C1709" s="966" t="str">
        <f t="shared" si="304"/>
        <v xml:space="preserve"> </v>
      </c>
      <c r="D1709" s="1411">
        <f>+D1686+D1692-D1701</f>
        <v>0</v>
      </c>
      <c r="E1709" s="976"/>
      <c r="F1709" s="988" t="str">
        <f>VLOOKUP($B1709,DG!A:D,DG!$C$2,)</f>
        <v>Khóa néo dây cỡ dây 185</v>
      </c>
      <c r="G1709" s="976" t="str">
        <f>VLOOKUP($B1709,DG!A:D,DG!$D$2,)</f>
        <v>cái</v>
      </c>
      <c r="H1709" s="1689">
        <f t="shared" si="305"/>
        <v>0</v>
      </c>
      <c r="I1709" s="1689">
        <f t="shared" si="306"/>
        <v>0</v>
      </c>
      <c r="J1709" s="1689"/>
      <c r="K1709" s="1689"/>
      <c r="L1709" s="1689"/>
      <c r="M1709" s="1689"/>
      <c r="N1709" s="1689"/>
      <c r="O1709" s="1689"/>
      <c r="P1709" s="1689">
        <f t="shared" si="307"/>
        <v>0</v>
      </c>
      <c r="Q1709" s="985"/>
      <c r="R1709" s="985"/>
      <c r="S1709" s="985"/>
      <c r="T1709" s="1858">
        <f t="shared" si="303"/>
        <v>0</v>
      </c>
    </row>
    <row r="1710" spans="1:20" ht="22.2" hidden="1" customHeight="1">
      <c r="A1710" s="1444">
        <f>COUNTIF($C$12:C1710,"x")</f>
        <v>43</v>
      </c>
      <c r="B1710" s="1456" t="s">
        <v>2109</v>
      </c>
      <c r="C1710" s="966" t="str">
        <f t="shared" si="304"/>
        <v xml:space="preserve"> </v>
      </c>
      <c r="D1710" s="1411">
        <f>'pp3p2m '!CS82</f>
        <v>0</v>
      </c>
      <c r="E1710" s="976"/>
      <c r="F1710" s="988" t="str">
        <f>VLOOKUP($B1710,DG!A:D,DG!$C$2,)</f>
        <v>Khóa néo dây cỡ dây 150</v>
      </c>
      <c r="G1710" s="976" t="str">
        <f>VLOOKUP($B1710,DG!A:D,DG!$D$2,)</f>
        <v>cái</v>
      </c>
      <c r="H1710" s="1689">
        <f t="shared" si="305"/>
        <v>0</v>
      </c>
      <c r="I1710" s="1689">
        <f t="shared" si="306"/>
        <v>0</v>
      </c>
      <c r="J1710" s="1689"/>
      <c r="K1710" s="1689"/>
      <c r="L1710" s="1689"/>
      <c r="M1710" s="1689"/>
      <c r="N1710" s="1689"/>
      <c r="O1710" s="1689"/>
      <c r="P1710" s="1689">
        <f t="shared" si="307"/>
        <v>0</v>
      </c>
      <c r="Q1710" s="985"/>
      <c r="R1710" s="985"/>
      <c r="S1710" s="985"/>
      <c r="T1710" s="1858">
        <f t="shared" si="303"/>
        <v>0</v>
      </c>
    </row>
    <row r="1711" spans="1:20" ht="22.2" hidden="1" customHeight="1">
      <c r="A1711" s="1444">
        <f>COUNTIF($C$12:C1711,"x")</f>
        <v>43</v>
      </c>
      <c r="B1711" s="1456" t="s">
        <v>431</v>
      </c>
      <c r="C1711" s="966" t="str">
        <f t="shared" si="304"/>
        <v xml:space="preserve"> </v>
      </c>
      <c r="D1711" s="1411"/>
      <c r="E1711" s="976"/>
      <c r="F1711" s="988" t="str">
        <f>VLOOKUP($B1711,DG!A:D,DG!$C$2,)</f>
        <v>Khóa néo dây cỡ dây 120</v>
      </c>
      <c r="G1711" s="976" t="str">
        <f>VLOOKUP($B1711,DG!A:D,DG!$D$2,)</f>
        <v>cái</v>
      </c>
      <c r="H1711" s="1689">
        <f t="shared" si="305"/>
        <v>0</v>
      </c>
      <c r="I1711" s="1689">
        <f t="shared" si="306"/>
        <v>0</v>
      </c>
      <c r="J1711" s="1689"/>
      <c r="K1711" s="1689"/>
      <c r="L1711" s="1689"/>
      <c r="M1711" s="1689"/>
      <c r="N1711" s="1689"/>
      <c r="O1711" s="1689"/>
      <c r="P1711" s="1689">
        <f t="shared" si="307"/>
        <v>0</v>
      </c>
      <c r="Q1711" s="985"/>
      <c r="R1711" s="985"/>
      <c r="S1711" s="985"/>
      <c r="T1711" s="1858">
        <f t="shared" si="303"/>
        <v>0</v>
      </c>
    </row>
    <row r="1712" spans="1:20" ht="22.2" hidden="1" customHeight="1">
      <c r="A1712" s="1444">
        <f>COUNTIF($C$12:C1712,"x")</f>
        <v>43</v>
      </c>
      <c r="B1712" s="1456" t="s">
        <v>1257</v>
      </c>
      <c r="C1712" s="966" t="str">
        <f t="shared" si="304"/>
        <v xml:space="preserve"> </v>
      </c>
      <c r="D1712" s="1411"/>
      <c r="E1712" s="976"/>
      <c r="F1712" s="988" t="str">
        <f>VLOOKUP($B1712,DG!A:D,DG!$C$2,)</f>
        <v>Khóa néo dây cỡ dây 95</v>
      </c>
      <c r="G1712" s="976" t="str">
        <f>VLOOKUP($B1712,DG!A:D,DG!$D$2,)</f>
        <v>cái</v>
      </c>
      <c r="H1712" s="1689">
        <f t="shared" si="305"/>
        <v>0</v>
      </c>
      <c r="I1712" s="1689">
        <f t="shared" si="306"/>
        <v>0</v>
      </c>
      <c r="J1712" s="1689"/>
      <c r="K1712" s="1689"/>
      <c r="L1712" s="1689"/>
      <c r="M1712" s="1689"/>
      <c r="N1712" s="1689"/>
      <c r="O1712" s="1689"/>
      <c r="P1712" s="1689">
        <f t="shared" si="307"/>
        <v>0</v>
      </c>
      <c r="Q1712" s="985"/>
      <c r="R1712" s="985"/>
      <c r="S1712" s="985"/>
      <c r="T1712" s="1858">
        <f t="shared" si="303"/>
        <v>0</v>
      </c>
    </row>
    <row r="1713" spans="1:20" ht="22.2" hidden="1" customHeight="1">
      <c r="A1713" s="1444">
        <f>COUNTIF($C$12:C1713,"x")</f>
        <v>43</v>
      </c>
      <c r="B1713" s="1456" t="s">
        <v>2231</v>
      </c>
      <c r="C1713" s="966" t="str">
        <f t="shared" si="304"/>
        <v xml:space="preserve"> </v>
      </c>
      <c r="D1713" s="1411"/>
      <c r="E1713" s="976"/>
      <c r="F1713" s="988" t="str">
        <f>VLOOKUP($B1713,DG!A:D,DG!$C$2,)</f>
        <v>Khóa néo dây cỡ dây 70</v>
      </c>
      <c r="G1713" s="976" t="str">
        <f>VLOOKUP($B1713,DG!A:D,DG!$D$2,)</f>
        <v>cái</v>
      </c>
      <c r="H1713" s="1689">
        <f t="shared" si="305"/>
        <v>0</v>
      </c>
      <c r="I1713" s="1689">
        <f t="shared" si="306"/>
        <v>0</v>
      </c>
      <c r="J1713" s="1689"/>
      <c r="K1713" s="1689"/>
      <c r="L1713" s="1689"/>
      <c r="M1713" s="1689"/>
      <c r="N1713" s="1689"/>
      <c r="O1713" s="1689"/>
      <c r="P1713" s="1689">
        <f t="shared" si="307"/>
        <v>0</v>
      </c>
      <c r="Q1713" s="985"/>
      <c r="R1713" s="985"/>
      <c r="S1713" s="985"/>
      <c r="T1713" s="1858">
        <f t="shared" si="303"/>
        <v>0</v>
      </c>
    </row>
    <row r="1714" spans="1:20" ht="22.2" hidden="1" customHeight="1">
      <c r="A1714" s="1444">
        <f>COUNTIF($C$12:C1714,"x")</f>
        <v>43</v>
      </c>
      <c r="B1714" s="1456" t="s">
        <v>1482</v>
      </c>
      <c r="C1714" s="966" t="str">
        <f t="shared" si="304"/>
        <v xml:space="preserve"> </v>
      </c>
      <c r="D1714" s="1411"/>
      <c r="E1714" s="976"/>
      <c r="F1714" s="988" t="str">
        <f>VLOOKUP($B1714,DG!A:D,DG!$C$2,)</f>
        <v>Khóa néo dây cỡ dây 50</v>
      </c>
      <c r="G1714" s="976" t="str">
        <f>VLOOKUP($B1714,DG!A:D,DG!$D$2,)</f>
        <v>cái</v>
      </c>
      <c r="H1714" s="1689">
        <f t="shared" ref="H1714:H1721" si="308">$D1714</f>
        <v>0</v>
      </c>
      <c r="I1714" s="1689">
        <f t="shared" ref="I1714:I1721" si="309">D1714</f>
        <v>0</v>
      </c>
      <c r="J1714" s="1689"/>
      <c r="K1714" s="1689"/>
      <c r="L1714" s="1689"/>
      <c r="M1714" s="1689"/>
      <c r="N1714" s="1689"/>
      <c r="O1714" s="1689"/>
      <c r="P1714" s="1689">
        <f t="shared" si="307"/>
        <v>0</v>
      </c>
      <c r="Q1714" s="985"/>
      <c r="R1714" s="985"/>
      <c r="S1714" s="985"/>
      <c r="T1714" s="1858">
        <f t="shared" si="303"/>
        <v>0</v>
      </c>
    </row>
    <row r="1715" spans="1:20" ht="22.2" hidden="1" customHeight="1">
      <c r="A1715" s="1444">
        <f>COUNTIF($C$12:C1715,"x")</f>
        <v>43</v>
      </c>
      <c r="B1715" s="1456" t="s">
        <v>1582</v>
      </c>
      <c r="C1715" s="966" t="str">
        <f t="shared" si="304"/>
        <v xml:space="preserve"> </v>
      </c>
      <c r="D1715" s="1424">
        <f>'pp3p2m '!CY82</f>
        <v>0</v>
      </c>
      <c r="E1715" s="976"/>
      <c r="F1715" s="988" t="str">
        <f>VLOOKUP($B1715,DG!A:D,DG!$C$2,)</f>
        <v>Kẹp 2 rãnh cỡ dây 50mm2</v>
      </c>
      <c r="G1715" s="976" t="str">
        <f>VLOOKUP($B1715,DG!A:D,DG!$D$2,)</f>
        <v>cái</v>
      </c>
      <c r="H1715" s="1689">
        <f t="shared" si="308"/>
        <v>0</v>
      </c>
      <c r="I1715" s="1689">
        <f t="shared" si="309"/>
        <v>0</v>
      </c>
      <c r="J1715" s="1689"/>
      <c r="K1715" s="1689"/>
      <c r="L1715" s="1689"/>
      <c r="M1715" s="1689"/>
      <c r="N1715" s="1689"/>
      <c r="O1715" s="1689"/>
      <c r="P1715" s="1689">
        <f t="shared" si="307"/>
        <v>0</v>
      </c>
      <c r="Q1715" s="985"/>
      <c r="R1715" s="985"/>
      <c r="S1715" s="985"/>
      <c r="T1715" s="1858">
        <f t="shared" si="303"/>
        <v>0</v>
      </c>
    </row>
    <row r="1716" spans="1:20" ht="22.2" hidden="1" customHeight="1">
      <c r="A1716" s="1444">
        <f>COUNTIF($C$12:C1716,"x")</f>
        <v>43</v>
      </c>
      <c r="B1716" s="1456" t="s">
        <v>1581</v>
      </c>
      <c r="C1716" s="966" t="str">
        <f t="shared" si="304"/>
        <v xml:space="preserve"> </v>
      </c>
      <c r="D1716" s="1424">
        <f>'pp3p2m '!CZ82</f>
        <v>0</v>
      </c>
      <c r="E1716" s="976"/>
      <c r="F1716" s="988" t="str">
        <f>VLOOKUP($B1716,DG!A:D,DG!$C$2,)</f>
        <v>Kẹp 2 rãnh cỡ dây 70mm2</v>
      </c>
      <c r="G1716" s="976" t="str">
        <f>VLOOKUP($B1716,DG!A:D,DG!$D$2,)</f>
        <v>cái</v>
      </c>
      <c r="H1716" s="1689">
        <f t="shared" si="308"/>
        <v>0</v>
      </c>
      <c r="I1716" s="1689">
        <f t="shared" si="309"/>
        <v>0</v>
      </c>
      <c r="J1716" s="1689"/>
      <c r="K1716" s="1689"/>
      <c r="L1716" s="1689"/>
      <c r="M1716" s="1689"/>
      <c r="N1716" s="1689"/>
      <c r="O1716" s="1689"/>
      <c r="P1716" s="1689">
        <f t="shared" si="307"/>
        <v>0</v>
      </c>
      <c r="Q1716" s="985"/>
      <c r="R1716" s="985"/>
      <c r="S1716" s="985"/>
      <c r="T1716" s="1858">
        <f t="shared" si="303"/>
        <v>0</v>
      </c>
    </row>
    <row r="1717" spans="1:20" ht="22.2" hidden="1" customHeight="1">
      <c r="A1717" s="1444">
        <f>COUNTIF($C$12:C1717,"x")</f>
        <v>43</v>
      </c>
      <c r="B1717" s="1456" t="s">
        <v>1022</v>
      </c>
      <c r="C1717" s="966" t="str">
        <f t="shared" si="304"/>
        <v xml:space="preserve"> </v>
      </c>
      <c r="D1717" s="1424">
        <f>'pp3p2m '!DA82</f>
        <v>0</v>
      </c>
      <c r="E1717" s="976"/>
      <c r="F1717" s="988" t="str">
        <f>VLOOKUP($B1717,DG!A:D,DG!$C$2,)</f>
        <v>Kẹp 2 rãnh cỡ dây 95mm2</v>
      </c>
      <c r="G1717" s="976" t="str">
        <f>VLOOKUP($B1717,DG!A:D,DG!$D$2,)</f>
        <v>cái</v>
      </c>
      <c r="H1717" s="1689">
        <f t="shared" si="308"/>
        <v>0</v>
      </c>
      <c r="I1717" s="1689">
        <f t="shared" si="309"/>
        <v>0</v>
      </c>
      <c r="J1717" s="1689"/>
      <c r="K1717" s="1689"/>
      <c r="L1717" s="1689"/>
      <c r="M1717" s="1689"/>
      <c r="N1717" s="1689"/>
      <c r="O1717" s="1689"/>
      <c r="P1717" s="1689">
        <f t="shared" si="307"/>
        <v>0</v>
      </c>
      <c r="Q1717" s="985"/>
      <c r="R1717" s="985"/>
      <c r="S1717" s="985"/>
      <c r="T1717" s="1858">
        <f t="shared" si="303"/>
        <v>0</v>
      </c>
    </row>
    <row r="1718" spans="1:20" ht="22.2" hidden="1" customHeight="1">
      <c r="A1718" s="1444">
        <f>COUNTIF($C$12:C1718,"x")</f>
        <v>43</v>
      </c>
      <c r="B1718" s="1456" t="s">
        <v>13</v>
      </c>
      <c r="C1718" s="966" t="str">
        <f t="shared" si="304"/>
        <v xml:space="preserve"> </v>
      </c>
      <c r="D1718" s="1424"/>
      <c r="E1718" s="976"/>
      <c r="F1718" s="988" t="str">
        <f>VLOOKUP($B1718,DG!A:D,DG!$C$2,)</f>
        <v>Kẹp ép WR cỡ dây 120mm2</v>
      </c>
      <c r="G1718" s="976" t="str">
        <f>VLOOKUP($B1718,DG!A:D,DG!$D$2,)</f>
        <v>cái</v>
      </c>
      <c r="H1718" s="1689">
        <f t="shared" si="308"/>
        <v>0</v>
      </c>
      <c r="I1718" s="1689">
        <f t="shared" si="309"/>
        <v>0</v>
      </c>
      <c r="J1718" s="1689"/>
      <c r="K1718" s="1689"/>
      <c r="L1718" s="1689"/>
      <c r="M1718" s="1689"/>
      <c r="N1718" s="1689"/>
      <c r="O1718" s="1689"/>
      <c r="P1718" s="1689">
        <f t="shared" si="307"/>
        <v>0</v>
      </c>
      <c r="Q1718" s="985"/>
      <c r="R1718" s="985"/>
      <c r="S1718" s="985"/>
      <c r="T1718" s="1858">
        <f t="shared" si="303"/>
        <v>0</v>
      </c>
    </row>
    <row r="1719" spans="1:20" ht="22.2" hidden="1" customHeight="1">
      <c r="A1719" s="1444">
        <f>COUNTIF($C$12:C1719,"x")</f>
        <v>43</v>
      </c>
      <c r="B1719" s="1456" t="s">
        <v>1067</v>
      </c>
      <c r="C1719" s="966" t="str">
        <f t="shared" si="304"/>
        <v xml:space="preserve"> </v>
      </c>
      <c r="D1719" s="1424">
        <f>'pp3p2m '!DB82</f>
        <v>0</v>
      </c>
      <c r="E1719" s="976"/>
      <c r="F1719" s="988" t="str">
        <f>VLOOKUP($B1719,DG!A:D,DG!$C$2,)</f>
        <v>Kẹp ép WR cỡ dây 150mm2</v>
      </c>
      <c r="G1719" s="976" t="str">
        <f>VLOOKUP($B1719,DG!A:D,DG!$D$2,)</f>
        <v>cái</v>
      </c>
      <c r="H1719" s="1689">
        <f t="shared" si="308"/>
        <v>0</v>
      </c>
      <c r="I1719" s="1689">
        <f t="shared" si="309"/>
        <v>0</v>
      </c>
      <c r="J1719" s="1689"/>
      <c r="K1719" s="1689"/>
      <c r="L1719" s="1689"/>
      <c r="M1719" s="1689"/>
      <c r="N1719" s="1689"/>
      <c r="O1719" s="1689"/>
      <c r="P1719" s="1689">
        <f t="shared" si="307"/>
        <v>0</v>
      </c>
      <c r="Q1719" s="985"/>
      <c r="R1719" s="985"/>
      <c r="S1719" s="985"/>
      <c r="T1719" s="1858">
        <f t="shared" si="303"/>
        <v>0</v>
      </c>
    </row>
    <row r="1720" spans="1:20" ht="22.2" hidden="1" customHeight="1">
      <c r="A1720" s="1444">
        <f>COUNTIF($C$12:C1720,"x")</f>
        <v>43</v>
      </c>
      <c r="B1720" s="1456" t="s">
        <v>15</v>
      </c>
      <c r="C1720" s="966" t="str">
        <f t="shared" si="304"/>
        <v xml:space="preserve"> </v>
      </c>
      <c r="D1720" s="1424">
        <f>'pp3p2m '!DD82</f>
        <v>0</v>
      </c>
      <c r="E1720" s="976"/>
      <c r="F1720" s="988" t="str">
        <f>VLOOKUP($B1720,DG!A:D,DG!$C$2,)</f>
        <v>Kẹp ép WR cỡ dây 240mm2</v>
      </c>
      <c r="G1720" s="976" t="str">
        <f>VLOOKUP($B1720,DG!A:D,DG!$D$2,)</f>
        <v>cái</v>
      </c>
      <c r="H1720" s="1689">
        <f t="shared" si="308"/>
        <v>0</v>
      </c>
      <c r="I1720" s="1689">
        <f t="shared" si="309"/>
        <v>0</v>
      </c>
      <c r="J1720" s="1689"/>
      <c r="K1720" s="1689"/>
      <c r="L1720" s="1689"/>
      <c r="M1720" s="1689"/>
      <c r="N1720" s="1689"/>
      <c r="O1720" s="1689"/>
      <c r="P1720" s="1689">
        <f t="shared" si="307"/>
        <v>0</v>
      </c>
      <c r="Q1720" s="985"/>
      <c r="R1720" s="985"/>
      <c r="S1720" s="985"/>
      <c r="T1720" s="1858">
        <f t="shared" si="303"/>
        <v>0</v>
      </c>
    </row>
    <row r="1721" spans="1:20" ht="22.2" hidden="1" customHeight="1">
      <c r="A1721" s="1444">
        <f>COUNTIF($C$12:C1721,"x")</f>
        <v>43</v>
      </c>
      <c r="B1721" s="1456" t="s">
        <v>1795</v>
      </c>
      <c r="C1721" s="966" t="str">
        <f t="shared" si="304"/>
        <v xml:space="preserve"> </v>
      </c>
      <c r="D1721" s="1424">
        <f>'pp3p2m '!DE82</f>
        <v>0</v>
      </c>
      <c r="E1721" s="976"/>
      <c r="F1721" s="988" t="str">
        <f>VLOOKUP($B1721,DG!A:D,DG!$C$2,)</f>
        <v>Kẹp 2 rãnh cỡ dây 240 mm2</v>
      </c>
      <c r="G1721" s="976" t="str">
        <f>VLOOKUP($B1721,DG!A:D,DG!$D$2,)</f>
        <v>cái</v>
      </c>
      <c r="H1721" s="1689">
        <f t="shared" si="308"/>
        <v>0</v>
      </c>
      <c r="I1721" s="1689">
        <f t="shared" si="309"/>
        <v>0</v>
      </c>
      <c r="J1721" s="1689"/>
      <c r="K1721" s="1689"/>
      <c r="L1721" s="1689"/>
      <c r="M1721" s="1689"/>
      <c r="N1721" s="1689"/>
      <c r="O1721" s="1689"/>
      <c r="P1721" s="1689">
        <f t="shared" si="307"/>
        <v>0</v>
      </c>
      <c r="Q1721" s="985"/>
      <c r="R1721" s="985"/>
      <c r="S1721" s="985"/>
      <c r="T1721" s="1858">
        <f t="shared" si="303"/>
        <v>0</v>
      </c>
    </row>
    <row r="1722" spans="1:20" ht="22.2" hidden="1" customHeight="1">
      <c r="A1722" s="1444">
        <f>COUNTIF($C$12:C1722,"x")</f>
        <v>43</v>
      </c>
      <c r="B1722" s="1456" t="s">
        <v>1887</v>
      </c>
      <c r="C1722" s="966" t="str">
        <f t="shared" si="304"/>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7"/>
        <v>0</v>
      </c>
      <c r="Q1722" s="985"/>
      <c r="R1722" s="985"/>
      <c r="S1722" s="985"/>
      <c r="T1722" s="1858">
        <f t="shared" si="303"/>
        <v>0</v>
      </c>
    </row>
    <row r="1723" spans="1:20" ht="22.2" hidden="1" customHeight="1">
      <c r="A1723" s="1444">
        <f>COUNTIF($C$12:C1723,"x")</f>
        <v>43</v>
      </c>
      <c r="B1723" s="1456" t="s">
        <v>1888</v>
      </c>
      <c r="C1723" s="966" t="str">
        <f t="shared" si="304"/>
        <v xml:space="preserve"> </v>
      </c>
      <c r="D1723" s="1424">
        <f>'pp3p2m '!DF82</f>
        <v>0</v>
      </c>
      <c r="E1723" s="976" t="str">
        <f>VLOOKUP($B1723,DG!A:D,DG!$B$2,)</f>
        <v>03.4004</v>
      </c>
      <c r="F1723" s="988" t="str">
        <f>VLOOKUP($B1723,DG!A:D,DG!$C$2,)</f>
        <v>Đầu cosse ép Cu-Al 95mm2</v>
      </c>
      <c r="G1723" s="976" t="str">
        <f>VLOOKUP($B1723,DG!A:D,DG!$D$2,)</f>
        <v>cái</v>
      </c>
      <c r="H1723" s="1689">
        <f t="shared" ref="H1723:H1742" si="310">$D1723</f>
        <v>0</v>
      </c>
      <c r="I1723" s="1689">
        <f t="shared" ref="I1723:I1739" si="311">D1723</f>
        <v>0</v>
      </c>
      <c r="J1723" s="1689"/>
      <c r="K1723" s="1689"/>
      <c r="L1723" s="1689"/>
      <c r="M1723" s="1689"/>
      <c r="N1723" s="1689"/>
      <c r="O1723" s="1689"/>
      <c r="P1723" s="1689">
        <f t="shared" si="307"/>
        <v>0</v>
      </c>
      <c r="Q1723" s="985"/>
      <c r="R1723" s="985"/>
      <c r="S1723" s="985"/>
      <c r="T1723" s="1858">
        <f t="shared" si="303"/>
        <v>0</v>
      </c>
    </row>
    <row r="1724" spans="1:20" ht="22.2" hidden="1" customHeight="1">
      <c r="A1724" s="1444">
        <f>COUNTIF($C$12:C1724,"x")</f>
        <v>43</v>
      </c>
      <c r="B1724" s="1456" t="s">
        <v>1889</v>
      </c>
      <c r="C1724" s="966" t="str">
        <f t="shared" si="304"/>
        <v xml:space="preserve"> </v>
      </c>
      <c r="D1724" s="1424">
        <f>'pp3p2m '!DI82</f>
        <v>0</v>
      </c>
      <c r="E1724" s="976" t="str">
        <f>VLOOKUP($B1724,DG!A:D,DG!$B$2,)</f>
        <v>03.4005</v>
      </c>
      <c r="F1724" s="988" t="str">
        <f>VLOOKUP($B1724,DG!A:D,DG!$C$2,)</f>
        <v>Đầu cosse ép Cu-Al 120mm2</v>
      </c>
      <c r="G1724" s="976" t="str">
        <f>VLOOKUP($B1724,DG!A:D,DG!$D$2,)</f>
        <v>cái</v>
      </c>
      <c r="H1724" s="1689">
        <f t="shared" si="310"/>
        <v>0</v>
      </c>
      <c r="I1724" s="1689">
        <f t="shared" si="311"/>
        <v>0</v>
      </c>
      <c r="J1724" s="1689"/>
      <c r="K1724" s="1689"/>
      <c r="L1724" s="1689"/>
      <c r="M1724" s="1689"/>
      <c r="N1724" s="1689"/>
      <c r="O1724" s="1689"/>
      <c r="P1724" s="1689">
        <f t="shared" si="307"/>
        <v>0</v>
      </c>
      <c r="Q1724" s="985"/>
      <c r="R1724" s="985"/>
      <c r="S1724" s="985"/>
      <c r="T1724" s="1858">
        <f t="shared" si="303"/>
        <v>0</v>
      </c>
    </row>
    <row r="1725" spans="1:20" ht="22.2" hidden="1" customHeight="1">
      <c r="A1725" s="1444">
        <f>COUNTIF($C$12:C1725,"x")</f>
        <v>43</v>
      </c>
      <c r="B1725" s="1456" t="s">
        <v>1019</v>
      </c>
      <c r="C1725" s="966" t="str">
        <f t="shared" si="304"/>
        <v xml:space="preserve"> </v>
      </c>
      <c r="D1725" s="1424">
        <f>'pp3p2m '!DJ82</f>
        <v>0</v>
      </c>
      <c r="E1725" s="976" t="str">
        <f>VLOOKUP($B1725,DG!A:D,DG!$B$2,)</f>
        <v>03.4006</v>
      </c>
      <c r="F1725" s="988" t="str">
        <f>VLOOKUP($B1725,DG!A:D,DG!$C$2,)</f>
        <v>Đầu cosse ép Cu-Al 150mm2</v>
      </c>
      <c r="G1725" s="976" t="str">
        <f>VLOOKUP($B1725,DG!A:D,DG!$D$2,)</f>
        <v>cái</v>
      </c>
      <c r="H1725" s="1689">
        <f t="shared" si="310"/>
        <v>0</v>
      </c>
      <c r="I1725" s="1689">
        <f t="shared" si="311"/>
        <v>0</v>
      </c>
      <c r="J1725" s="1689"/>
      <c r="K1725" s="1689"/>
      <c r="L1725" s="1689"/>
      <c r="M1725" s="1689"/>
      <c r="N1725" s="1689"/>
      <c r="O1725" s="1689"/>
      <c r="P1725" s="1689">
        <f t="shared" si="307"/>
        <v>0</v>
      </c>
      <c r="Q1725" s="985"/>
      <c r="R1725" s="985"/>
      <c r="S1725" s="985"/>
      <c r="T1725" s="1858">
        <f t="shared" si="303"/>
        <v>0</v>
      </c>
    </row>
    <row r="1726" spans="1:20" ht="22.2" hidden="1" customHeight="1">
      <c r="A1726" s="1444">
        <f>COUNTIF($C$12:C1726,"x")</f>
        <v>43</v>
      </c>
      <c r="B1726" s="1456" t="s">
        <v>1020</v>
      </c>
      <c r="C1726" s="966" t="str">
        <f t="shared" si="304"/>
        <v xml:space="preserve"> </v>
      </c>
      <c r="D1726" s="1424"/>
      <c r="E1726" s="976" t="str">
        <f>VLOOKUP($B1726,DG!A:D,DG!$B$2,)</f>
        <v>03.4007</v>
      </c>
      <c r="F1726" s="988" t="str">
        <f>VLOOKUP($B1726,DG!A:D,DG!$C$2,)</f>
        <v>Đầu cosse ép Cu-Al 185mm2</v>
      </c>
      <c r="G1726" s="976" t="str">
        <f>VLOOKUP($B1726,DG!A:D,DG!$D$2,)</f>
        <v>cái</v>
      </c>
      <c r="H1726" s="1689">
        <f t="shared" si="310"/>
        <v>0</v>
      </c>
      <c r="I1726" s="1689">
        <f t="shared" si="311"/>
        <v>0</v>
      </c>
      <c r="J1726" s="1689"/>
      <c r="K1726" s="1689"/>
      <c r="L1726" s="1689"/>
      <c r="M1726" s="1689"/>
      <c r="N1726" s="1689"/>
      <c r="O1726" s="1689"/>
      <c r="P1726" s="1689">
        <f t="shared" si="307"/>
        <v>0</v>
      </c>
      <c r="Q1726" s="985"/>
      <c r="R1726" s="985"/>
      <c r="S1726" s="985"/>
      <c r="T1726" s="1858">
        <f t="shared" si="303"/>
        <v>0</v>
      </c>
    </row>
    <row r="1727" spans="1:20" ht="22.2" hidden="1" customHeight="1">
      <c r="A1727" s="1444">
        <f>COUNTIF($C$12:C1727,"x")</f>
        <v>43</v>
      </c>
      <c r="B1727" s="1456" t="s">
        <v>1831</v>
      </c>
      <c r="C1727" s="966" t="str">
        <f t="shared" si="304"/>
        <v xml:space="preserve"> </v>
      </c>
      <c r="D1727" s="1424">
        <f>'pp3p2m '!DK82</f>
        <v>0</v>
      </c>
      <c r="E1727" s="976" t="str">
        <f>VLOOKUP($B1727,DG!A:D,DG!$B$2,)</f>
        <v>03.4008</v>
      </c>
      <c r="F1727" s="988" t="str">
        <f>VLOOKUP($B1727,DG!A:D,DG!$C$2,)</f>
        <v>Đầu cosse ép Cu-Al 240mm2</v>
      </c>
      <c r="G1727" s="976" t="str">
        <f>VLOOKUP($B1727,DG!A:D,DG!$D$2,)</f>
        <v>cái</v>
      </c>
      <c r="H1727" s="1689">
        <f t="shared" si="310"/>
        <v>0</v>
      </c>
      <c r="I1727" s="1689">
        <f t="shared" si="311"/>
        <v>0</v>
      </c>
      <c r="J1727" s="1689"/>
      <c r="K1727" s="1689"/>
      <c r="L1727" s="1689"/>
      <c r="M1727" s="1689"/>
      <c r="N1727" s="1689"/>
      <c r="O1727" s="1689"/>
      <c r="P1727" s="1689">
        <f t="shared" si="307"/>
        <v>0</v>
      </c>
      <c r="Q1727" s="985"/>
      <c r="R1727" s="985"/>
      <c r="S1727" s="985"/>
      <c r="T1727" s="1858">
        <f t="shared" ref="T1727:T1768" si="312">IFERROR(HLOOKUP(B1727,BangKeTru,3,0),0)</f>
        <v>0</v>
      </c>
    </row>
    <row r="1728" spans="1:20" ht="22.2" hidden="1" customHeight="1">
      <c r="A1728" s="1444">
        <f>COUNTIF($C$12:C1728,"x")</f>
        <v>43</v>
      </c>
      <c r="B1728" s="1456" t="s">
        <v>437</v>
      </c>
      <c r="C1728" s="966" t="str">
        <f t="shared" si="304"/>
        <v xml:space="preserve"> </v>
      </c>
      <c r="D1728" s="1424">
        <f>SUM(D1722:D1727)/2</f>
        <v>0</v>
      </c>
      <c r="E1728" s="976">
        <f>VLOOKUP($B1728,DG!A:D,DG!$B$2,)</f>
        <v>0</v>
      </c>
      <c r="F1728" s="988" t="str">
        <f>VLOOKUP($B1728,DG!A:D,DG!$C$2,)</f>
        <v>Boulon 12x30+ 2 long đền vuông D14-50x50x3/Zn</v>
      </c>
      <c r="G1728" s="976" t="str">
        <f>VLOOKUP($B1728,DG!A:D,DG!$D$2,)</f>
        <v>bộ</v>
      </c>
      <c r="H1728" s="1689">
        <f t="shared" si="310"/>
        <v>0</v>
      </c>
      <c r="I1728" s="1689">
        <f t="shared" si="311"/>
        <v>0</v>
      </c>
      <c r="J1728" s="1689"/>
      <c r="K1728" s="1689"/>
      <c r="L1728" s="1689"/>
      <c r="M1728" s="1689"/>
      <c r="N1728" s="1689"/>
      <c r="O1728" s="1689"/>
      <c r="P1728" s="1689">
        <f t="shared" si="307"/>
        <v>0</v>
      </c>
      <c r="Q1728" s="985"/>
      <c r="R1728" s="985"/>
      <c r="S1728" s="985"/>
      <c r="T1728" s="1858">
        <f t="shared" si="312"/>
        <v>0</v>
      </c>
    </row>
    <row r="1729" spans="1:20" ht="22.2" hidden="1" customHeight="1">
      <c r="A1729" s="1444">
        <f>COUNTIF($C$12:C1729,"x")</f>
        <v>43</v>
      </c>
      <c r="B1729" s="1456" t="s">
        <v>1479</v>
      </c>
      <c r="C1729" s="966" t="str">
        <f t="shared" si="304"/>
        <v xml:space="preserve"> </v>
      </c>
      <c r="D1729" s="1424">
        <f>'pp3p2m '!DM82*2</f>
        <v>0</v>
      </c>
      <c r="E1729" s="976" t="str">
        <f>VLOOKUP($B1729,DG!A:D,DG!$B$2,)</f>
        <v>04.3007</v>
      </c>
      <c r="F1729" s="988" t="str">
        <f>VLOOKUP($B1729,DG!A:D,DG!$C$2,)</f>
        <v>Kẹp quai 2/0</v>
      </c>
      <c r="G1729" s="976" t="str">
        <f>VLOOKUP($B1729,DG!A:D,DG!$D$2,)</f>
        <v>cái</v>
      </c>
      <c r="H1729" s="1689">
        <f t="shared" si="310"/>
        <v>0</v>
      </c>
      <c r="I1729" s="1689">
        <f t="shared" si="311"/>
        <v>0</v>
      </c>
      <c r="J1729" s="1689"/>
      <c r="K1729" s="1689"/>
      <c r="L1729" s="1689"/>
      <c r="M1729" s="1689"/>
      <c r="N1729" s="1689"/>
      <c r="O1729" s="1689"/>
      <c r="P1729" s="1689">
        <f t="shared" si="307"/>
        <v>0</v>
      </c>
      <c r="Q1729" s="985"/>
      <c r="R1729" s="985"/>
      <c r="S1729" s="985"/>
      <c r="T1729" s="1858">
        <f t="shared" si="312"/>
        <v>0</v>
      </c>
    </row>
    <row r="1730" spans="1:20" ht="22.2" hidden="1" customHeight="1">
      <c r="A1730" s="1444">
        <f>COUNTIF($C$12:C1730,"x")</f>
        <v>43</v>
      </c>
      <c r="B1730" s="1456" t="s">
        <v>236</v>
      </c>
      <c r="C1730" s="966" t="str">
        <f t="shared" si="304"/>
        <v xml:space="preserve"> </v>
      </c>
      <c r="D1730" s="1411">
        <f>D1729</f>
        <v>0</v>
      </c>
      <c r="E1730" s="976" t="str">
        <f>VLOOKUP($B1730,DG!A:D,DG!$B$2,)</f>
        <v>04.3007</v>
      </c>
      <c r="F1730" s="988" t="str">
        <f>VLOOKUP($B1730,DG!A:D,DG!$C$2,)</f>
        <v>Kẹp quai 4/0</v>
      </c>
      <c r="G1730" s="976" t="str">
        <f>VLOOKUP($B1730,DG!A:D,DG!$D$2,)</f>
        <v>cái</v>
      </c>
      <c r="H1730" s="1689">
        <f t="shared" si="310"/>
        <v>0</v>
      </c>
      <c r="I1730" s="1689">
        <f t="shared" si="311"/>
        <v>0</v>
      </c>
      <c r="J1730" s="1689"/>
      <c r="K1730" s="1689"/>
      <c r="L1730" s="1689"/>
      <c r="M1730" s="1689"/>
      <c r="N1730" s="1689"/>
      <c r="O1730" s="1689"/>
      <c r="P1730" s="1689">
        <f t="shared" si="307"/>
        <v>0</v>
      </c>
      <c r="Q1730" s="985"/>
      <c r="R1730" s="985"/>
      <c r="S1730" s="985"/>
      <c r="T1730" s="1858">
        <f t="shared" si="312"/>
        <v>0</v>
      </c>
    </row>
    <row r="1731" spans="1:20" ht="22.2" hidden="1" customHeight="1">
      <c r="A1731" s="1444">
        <f>COUNTIF($C$12:C1731,"x")</f>
        <v>43</v>
      </c>
      <c r="B1731" s="1471" t="s">
        <v>1477</v>
      </c>
      <c r="C1731" s="966" t="str">
        <f t="shared" si="304"/>
        <v xml:space="preserve"> </v>
      </c>
      <c r="D1731" s="1411">
        <f>D1729</f>
        <v>0</v>
      </c>
      <c r="E1731" s="976"/>
      <c r="F1731" s="1274" t="str">
        <f>VLOOKUP($B1731,DG!A:D,DG!$C$2,)</f>
        <v>Kẹp hotline 2/0</v>
      </c>
      <c r="G1731" s="976" t="str">
        <f>VLOOKUP($B1731,DG!A:D,DG!$D$2,)</f>
        <v>cái</v>
      </c>
      <c r="H1731" s="1689">
        <f t="shared" si="310"/>
        <v>0</v>
      </c>
      <c r="I1731" s="1689">
        <f t="shared" si="311"/>
        <v>0</v>
      </c>
      <c r="J1731" s="1689"/>
      <c r="K1731" s="1689"/>
      <c r="L1731" s="1689"/>
      <c r="M1731" s="1689"/>
      <c r="N1731" s="1689"/>
      <c r="O1731" s="1689"/>
      <c r="P1731" s="1689">
        <f t="shared" si="307"/>
        <v>0</v>
      </c>
      <c r="Q1731" s="985"/>
      <c r="R1731" s="985"/>
      <c r="S1731" s="985"/>
      <c r="T1731" s="1858">
        <f t="shared" si="312"/>
        <v>0</v>
      </c>
    </row>
    <row r="1732" spans="1:20" ht="22.2" hidden="1" customHeight="1">
      <c r="A1732" s="1444">
        <f>COUNTIF($C$12:C1732,"x")</f>
        <v>43</v>
      </c>
      <c r="B1732" s="1471" t="s">
        <v>1049</v>
      </c>
      <c r="C1732" s="966" t="str">
        <f t="shared" si="304"/>
        <v xml:space="preserve"> </v>
      </c>
      <c r="D1732" s="1424">
        <f>D1730</f>
        <v>0</v>
      </c>
      <c r="E1732" s="976"/>
      <c r="F1732" s="988" t="str">
        <f>VLOOKUP($B1732,DG!A:D,DG!$C$2,)</f>
        <v>Kẹp hotline 4/0</v>
      </c>
      <c r="G1732" s="976" t="str">
        <f>VLOOKUP($B1732,DG!A:D,DG!$D$2,)</f>
        <v>cái</v>
      </c>
      <c r="H1732" s="1689">
        <f t="shared" si="310"/>
        <v>0</v>
      </c>
      <c r="I1732" s="1689">
        <f t="shared" si="311"/>
        <v>0</v>
      </c>
      <c r="J1732" s="1689"/>
      <c r="K1732" s="1689"/>
      <c r="L1732" s="1689"/>
      <c r="M1732" s="1689"/>
      <c r="N1732" s="1689"/>
      <c r="O1732" s="1689"/>
      <c r="P1732" s="1689">
        <f t="shared" si="307"/>
        <v>0</v>
      </c>
      <c r="Q1732" s="985"/>
      <c r="R1732" s="985"/>
      <c r="S1732" s="985"/>
      <c r="T1732" s="1858">
        <f t="shared" si="312"/>
        <v>0</v>
      </c>
    </row>
    <row r="1733" spans="1:20" ht="22.2" hidden="1" customHeight="1">
      <c r="A1733" s="1444">
        <f>COUNTIF($C$12:C1733,"x")</f>
        <v>43</v>
      </c>
      <c r="B1733" s="1456" t="s">
        <v>1487</v>
      </c>
      <c r="C1733" s="966" t="str">
        <f t="shared" si="304"/>
        <v xml:space="preserve"> </v>
      </c>
      <c r="D1733" s="1411">
        <f>ROUND((E1650)*1.03/1500,0)</f>
        <v>0</v>
      </c>
      <c r="E1733" s="976"/>
      <c r="F1733" s="988" t="str">
        <f>VLOOKUP($B1733,DG!A:D,DG!$C$2,)</f>
        <v>Ống nối dây cỡ 50mm2</v>
      </c>
      <c r="G1733" s="976" t="str">
        <f>VLOOKUP($B1733,DG!A:D,DG!$D$2,)</f>
        <v>cái</v>
      </c>
      <c r="H1733" s="1689">
        <f t="shared" si="310"/>
        <v>0</v>
      </c>
      <c r="I1733" s="1689">
        <f t="shared" si="311"/>
        <v>0</v>
      </c>
      <c r="J1733" s="1689"/>
      <c r="K1733" s="1689"/>
      <c r="L1733" s="1689"/>
      <c r="M1733" s="1689"/>
      <c r="N1733" s="1689"/>
      <c r="O1733" s="1689"/>
      <c r="P1733" s="1689">
        <f t="shared" si="307"/>
        <v>0</v>
      </c>
      <c r="Q1733" s="985"/>
      <c r="R1733" s="985"/>
      <c r="S1733" s="985"/>
      <c r="T1733" s="1858">
        <f t="shared" si="312"/>
        <v>0</v>
      </c>
    </row>
    <row r="1734" spans="1:20" ht="22.2" hidden="1" customHeight="1">
      <c r="A1734" s="1444">
        <f>COUNTIF($C$12:C1734,"x")</f>
        <v>43</v>
      </c>
      <c r="B1734" s="1456" t="s">
        <v>1488</v>
      </c>
      <c r="C1734" s="966" t="str">
        <f t="shared" si="304"/>
        <v xml:space="preserve"> </v>
      </c>
      <c r="D1734" s="1411">
        <f>ROUND((E1651+E1662)*1.03/1400,0)</f>
        <v>0</v>
      </c>
      <c r="E1734" s="976"/>
      <c r="F1734" s="988" t="str">
        <f>VLOOKUP($B1734,DG!A:D,DG!$C$2,)</f>
        <v>Ống nối dây cỡ 70mm2</v>
      </c>
      <c r="G1734" s="976" t="str">
        <f>VLOOKUP($B1734,DG!A:D,DG!$D$2,)</f>
        <v>cái</v>
      </c>
      <c r="H1734" s="1689">
        <f t="shared" si="310"/>
        <v>0</v>
      </c>
      <c r="I1734" s="1689">
        <f t="shared" si="311"/>
        <v>0</v>
      </c>
      <c r="J1734" s="1689"/>
      <c r="K1734" s="1689"/>
      <c r="L1734" s="1689"/>
      <c r="M1734" s="1689"/>
      <c r="N1734" s="1689"/>
      <c r="O1734" s="1689"/>
      <c r="P1734" s="1689">
        <f t="shared" si="307"/>
        <v>0</v>
      </c>
      <c r="Q1734" s="985"/>
      <c r="R1734" s="985"/>
      <c r="S1734" s="985"/>
      <c r="T1734" s="1858">
        <f t="shared" si="312"/>
        <v>0</v>
      </c>
    </row>
    <row r="1735" spans="1:20" ht="22.2" hidden="1" customHeight="1">
      <c r="A1735" s="1444">
        <f>COUNTIF($C$12:C1735,"x")</f>
        <v>43</v>
      </c>
      <c r="B1735" s="1456" t="s">
        <v>432</v>
      </c>
      <c r="C1735" s="966" t="str">
        <f t="shared" ref="C1735:C1800" si="313">IF(OR(P1735&lt;&gt;0,H1735&lt;&gt;0),"x"," ")</f>
        <v xml:space="preserve"> </v>
      </c>
      <c r="D1735" s="1411">
        <f>ROUND((E1652+E1661)*1.03/1200,0)</f>
        <v>0</v>
      </c>
      <c r="E1735" s="976"/>
      <c r="F1735" s="988" t="str">
        <f>VLOOKUP($B1735,DG!A:D,DG!$C$2,)</f>
        <v>Ống nối dây cỡ 95mm2</v>
      </c>
      <c r="G1735" s="976" t="str">
        <f>VLOOKUP($B1735,DG!A:D,DG!$D$2,)</f>
        <v>cái</v>
      </c>
      <c r="H1735" s="1689">
        <f t="shared" si="310"/>
        <v>0</v>
      </c>
      <c r="I1735" s="1689">
        <f t="shared" si="311"/>
        <v>0</v>
      </c>
      <c r="J1735" s="1689"/>
      <c r="K1735" s="1689"/>
      <c r="L1735" s="1689"/>
      <c r="M1735" s="1689"/>
      <c r="N1735" s="1689"/>
      <c r="O1735" s="1689"/>
      <c r="P1735" s="1689">
        <f t="shared" si="307"/>
        <v>0</v>
      </c>
      <c r="Q1735" s="985"/>
      <c r="R1735" s="985"/>
      <c r="S1735" s="985"/>
      <c r="T1735" s="1858">
        <f t="shared" si="312"/>
        <v>0</v>
      </c>
    </row>
    <row r="1736" spans="1:20" ht="22.2" hidden="1" customHeight="1">
      <c r="A1736" s="1444">
        <f>COUNTIF($C$12:C1736,"x")</f>
        <v>43</v>
      </c>
      <c r="B1736" s="1456" t="s">
        <v>573</v>
      </c>
      <c r="C1736" s="966" t="str">
        <f t="shared" si="313"/>
        <v xml:space="preserve"> </v>
      </c>
      <c r="D1736" s="1411">
        <f>ROUND((E1653+E1660)*1.03/1200,0)</f>
        <v>0</v>
      </c>
      <c r="E1736" s="976"/>
      <c r="F1736" s="988" t="str">
        <f>VLOOKUP($B1736,DG!A:D,DG!$C$2,)</f>
        <v>Ống nối dây cỡ 120mm2</v>
      </c>
      <c r="G1736" s="976" t="str">
        <f>VLOOKUP($B1736,DG!A:D,DG!$D$2,)</f>
        <v>cái</v>
      </c>
      <c r="H1736" s="1689">
        <f t="shared" si="310"/>
        <v>0</v>
      </c>
      <c r="I1736" s="1689">
        <f t="shared" si="311"/>
        <v>0</v>
      </c>
      <c r="J1736" s="1689"/>
      <c r="K1736" s="1689"/>
      <c r="L1736" s="1689"/>
      <c r="M1736" s="1689"/>
      <c r="N1736" s="1689"/>
      <c r="O1736" s="1689"/>
      <c r="P1736" s="1689">
        <f t="shared" si="307"/>
        <v>0</v>
      </c>
      <c r="Q1736" s="985"/>
      <c r="R1736" s="985"/>
      <c r="S1736" s="985"/>
      <c r="T1736" s="1858">
        <f t="shared" si="312"/>
        <v>0</v>
      </c>
    </row>
    <row r="1737" spans="1:20" ht="22.2" hidden="1" customHeight="1">
      <c r="A1737" s="1444">
        <f>COUNTIF($C$12:C1737,"x")</f>
        <v>43</v>
      </c>
      <c r="B1737" s="1456" t="s">
        <v>937</v>
      </c>
      <c r="C1737" s="966" t="str">
        <f t="shared" si="313"/>
        <v xml:space="preserve"> </v>
      </c>
      <c r="D1737" s="1411">
        <f>ROUND((E1654+E1659)*1.03/1200,0)</f>
        <v>0</v>
      </c>
      <c r="E1737" s="976"/>
      <c r="F1737" s="988" t="str">
        <f>VLOOKUP($B1737,DG!A:D,DG!$C$2,)</f>
        <v>Ống nối dây cỡ 150mm2</v>
      </c>
      <c r="G1737" s="976" t="str">
        <f>VLOOKUP($B1737,DG!A:D,DG!$D$2,)</f>
        <v>cái</v>
      </c>
      <c r="H1737" s="1689">
        <f t="shared" si="310"/>
        <v>0</v>
      </c>
      <c r="I1737" s="1689">
        <f t="shared" si="311"/>
        <v>0</v>
      </c>
      <c r="J1737" s="1689"/>
      <c r="K1737" s="1689"/>
      <c r="L1737" s="1689"/>
      <c r="M1737" s="1689"/>
      <c r="N1737" s="1689"/>
      <c r="O1737" s="1689"/>
      <c r="P1737" s="1689">
        <f t="shared" si="307"/>
        <v>0</v>
      </c>
      <c r="Q1737" s="985"/>
      <c r="R1737" s="985"/>
      <c r="S1737" s="985"/>
      <c r="T1737" s="1858">
        <f t="shared" si="312"/>
        <v>0</v>
      </c>
    </row>
    <row r="1738" spans="1:20" ht="22.2" hidden="1" customHeight="1">
      <c r="A1738" s="1444">
        <f>COUNTIF($C$12:C1738,"x")</f>
        <v>43</v>
      </c>
      <c r="B1738" s="1456" t="s">
        <v>572</v>
      </c>
      <c r="C1738" s="966" t="str">
        <f t="shared" si="313"/>
        <v xml:space="preserve"> </v>
      </c>
      <c r="D1738" s="1411">
        <f>ROUND((E1655+E1658)*1.03/1200,0)</f>
        <v>0</v>
      </c>
      <c r="E1738" s="976"/>
      <c r="F1738" s="988" t="str">
        <f>VLOOKUP($B1738,DG!A:D,DG!$C$2,)</f>
        <v>Ống nối dây cỡ 185mm2</v>
      </c>
      <c r="G1738" s="976" t="str">
        <f>VLOOKUP($B1738,DG!A:D,DG!$D$2,)</f>
        <v>cái</v>
      </c>
      <c r="H1738" s="1689">
        <f t="shared" si="310"/>
        <v>0</v>
      </c>
      <c r="I1738" s="1689">
        <f t="shared" si="311"/>
        <v>0</v>
      </c>
      <c r="J1738" s="1689"/>
      <c r="K1738" s="1689"/>
      <c r="L1738" s="1689"/>
      <c r="M1738" s="1689"/>
      <c r="N1738" s="1689"/>
      <c r="O1738" s="1689"/>
      <c r="P1738" s="1689">
        <f t="shared" si="307"/>
        <v>0</v>
      </c>
      <c r="Q1738" s="985"/>
      <c r="R1738" s="985"/>
      <c r="S1738" s="985"/>
      <c r="T1738" s="1858">
        <f t="shared" si="312"/>
        <v>0</v>
      </c>
    </row>
    <row r="1739" spans="1:20" ht="22.2" hidden="1" customHeight="1">
      <c r="A1739" s="1444">
        <f>COUNTIF($C$12:C1739,"x")</f>
        <v>43</v>
      </c>
      <c r="B1739" s="1456" t="s">
        <v>571</v>
      </c>
      <c r="C1739" s="966" t="str">
        <f t="shared" si="313"/>
        <v xml:space="preserve"> </v>
      </c>
      <c r="D1739" s="1411">
        <f>ROUND((E1656+E1657)*1.03/1200,0)</f>
        <v>0</v>
      </c>
      <c r="E1739" s="976"/>
      <c r="F1739" s="988" t="str">
        <f>VLOOKUP($B1739,DG!A:D,DG!$C$2,)</f>
        <v>Ống nối dây cỡ 240mm2</v>
      </c>
      <c r="G1739" s="976" t="str">
        <f>VLOOKUP($B1739,DG!A:D,DG!$D$2,)</f>
        <v>cái</v>
      </c>
      <c r="H1739" s="1689">
        <f t="shared" si="310"/>
        <v>0</v>
      </c>
      <c r="I1739" s="1689">
        <f t="shared" si="311"/>
        <v>0</v>
      </c>
      <c r="J1739" s="1689"/>
      <c r="K1739" s="1689"/>
      <c r="L1739" s="1689"/>
      <c r="M1739" s="1689"/>
      <c r="N1739" s="1689"/>
      <c r="O1739" s="1689"/>
      <c r="P1739" s="1689">
        <f t="shared" si="307"/>
        <v>0</v>
      </c>
      <c r="Q1739" s="985"/>
      <c r="R1739" s="985"/>
      <c r="S1739" s="985"/>
      <c r="T1739" s="1858">
        <f t="shared" si="312"/>
        <v>0</v>
      </c>
    </row>
    <row r="1740" spans="1:20" ht="22.2" hidden="1" customHeight="1">
      <c r="A1740" s="1444">
        <f>COUNTIF($C$12:C1740,"x")</f>
        <v>43</v>
      </c>
      <c r="B1740" s="1456" t="s">
        <v>1610</v>
      </c>
      <c r="C1740" s="966" t="str">
        <f t="shared" si="313"/>
        <v xml:space="preserve"> </v>
      </c>
      <c r="D1740" s="1424">
        <f>'pp3p2m '!DF82</f>
        <v>0</v>
      </c>
      <c r="E1740" s="976"/>
      <c r="F1740" s="988" t="str">
        <f>VLOOKUP($B1740,DG!A:D,DG!$C$2,)</f>
        <v>Boulon 16x300+ 2 long đền vuông D18-50x50x3/Zn</v>
      </c>
      <c r="G1740" s="976" t="str">
        <f>VLOOKUP($B1740,DG!A:D,DG!$D$2,)</f>
        <v>bộ</v>
      </c>
      <c r="H1740" s="1689">
        <f t="shared" si="310"/>
        <v>0</v>
      </c>
      <c r="I1740" s="1689">
        <f>H1740</f>
        <v>0</v>
      </c>
      <c r="J1740" s="1689"/>
      <c r="K1740" s="1689"/>
      <c r="L1740" s="1689"/>
      <c r="M1740" s="1689"/>
      <c r="N1740" s="1689"/>
      <c r="O1740" s="1689"/>
      <c r="P1740" s="1689">
        <f t="shared" si="307"/>
        <v>0</v>
      </c>
      <c r="Q1740" s="985"/>
      <c r="R1740" s="985"/>
      <c r="S1740" s="985"/>
      <c r="T1740" s="1858">
        <f t="shared" si="312"/>
        <v>0</v>
      </c>
    </row>
    <row r="1741" spans="1:20" ht="22.2" hidden="1" customHeight="1">
      <c r="A1741" s="1444">
        <f>COUNTIF($C$12:C1741,"x")</f>
        <v>43</v>
      </c>
      <c r="B1741" s="1456" t="s">
        <v>229</v>
      </c>
      <c r="C1741" s="966" t="str">
        <f t="shared" si="313"/>
        <v xml:space="preserve"> </v>
      </c>
      <c r="D1741" s="1411">
        <f>SUM(D1743:D1755)*5/1.4</f>
        <v>0</v>
      </c>
      <c r="E1741" s="976"/>
      <c r="F1741" s="988" t="str">
        <f>VLOOKUP($B1741,DG!A:D,DG!$C$2,)</f>
        <v xml:space="preserve">Dây nhôm buộc </v>
      </c>
      <c r="G1741" s="976" t="str">
        <f>VLOOKUP($B1741,DG!A:D,DG!$D$2,)</f>
        <v>kg</v>
      </c>
      <c r="H1741" s="1689">
        <f t="shared" si="310"/>
        <v>0</v>
      </c>
      <c r="I1741" s="1689">
        <f>D1741</f>
        <v>0</v>
      </c>
      <c r="J1741" s="1689"/>
      <c r="K1741" s="1689"/>
      <c r="L1741" s="1689"/>
      <c r="M1741" s="1689"/>
      <c r="N1741" s="1689"/>
      <c r="O1741" s="1689"/>
      <c r="P1741" s="1689">
        <f t="shared" si="307"/>
        <v>0</v>
      </c>
      <c r="Q1741" s="985"/>
      <c r="R1741" s="985"/>
      <c r="S1741" s="985"/>
      <c r="T1741" s="1858">
        <f t="shared" si="312"/>
        <v>0</v>
      </c>
    </row>
    <row r="1742" spans="1:20" ht="22.2" hidden="1" customHeight="1">
      <c r="A1742" s="1444">
        <f>COUNTIF($C$12:C1742,"x")</f>
        <v>43</v>
      </c>
      <c r="B1742" s="1456" t="s">
        <v>1570</v>
      </c>
      <c r="C1742" s="966" t="str">
        <f t="shared" si="313"/>
        <v xml:space="preserve"> </v>
      </c>
      <c r="D1742" s="1411">
        <f>SUM(G142:G145)</f>
        <v>0</v>
      </c>
      <c r="E1742" s="976"/>
      <c r="F1742" s="988" t="str">
        <f>VLOOKUP($B1742,DG!A:D,DG!$C$2,)</f>
        <v>Biển số - Bảng nguy hiểm</v>
      </c>
      <c r="G1742" s="976" t="str">
        <f>VLOOKUP($B1742,DG!A:D,DG!$D$2,)</f>
        <v>cái</v>
      </c>
      <c r="H1742" s="1689">
        <f t="shared" si="310"/>
        <v>0</v>
      </c>
      <c r="I1742" s="1689">
        <f>D1742</f>
        <v>0</v>
      </c>
      <c r="J1742" s="1689"/>
      <c r="K1742" s="1689"/>
      <c r="L1742" s="1689"/>
      <c r="M1742" s="1689"/>
      <c r="N1742" s="1689"/>
      <c r="O1742" s="1689"/>
      <c r="P1742" s="1689">
        <f t="shared" si="307"/>
        <v>0</v>
      </c>
      <c r="Q1742" s="985"/>
      <c r="R1742" s="985"/>
      <c r="S1742" s="985"/>
      <c r="T1742" s="1858">
        <f t="shared" si="312"/>
        <v>0</v>
      </c>
    </row>
    <row r="1743" spans="1:20" ht="22.2" hidden="1" customHeight="1">
      <c r="A1743" s="1444">
        <f>COUNTIF($C$12:C1743,"x")</f>
        <v>43</v>
      </c>
      <c r="B1743" s="1456" t="s">
        <v>1269</v>
      </c>
      <c r="C1743" s="966" t="str">
        <f t="shared" si="313"/>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7"/>
        <v>0</v>
      </c>
      <c r="Q1743" s="985"/>
      <c r="R1743" s="985"/>
      <c r="S1743" s="985"/>
      <c r="T1743" s="1858">
        <f t="shared" si="312"/>
        <v>0</v>
      </c>
    </row>
    <row r="1744" spans="1:20" ht="22.2" hidden="1" customHeight="1">
      <c r="A1744" s="1444">
        <f>COUNTIF($C$12:C1744,"x")</f>
        <v>43</v>
      </c>
      <c r="B1744" s="1456" t="s">
        <v>1414</v>
      </c>
      <c r="C1744" s="966" t="str">
        <f t="shared" si="313"/>
        <v xml:space="preserve"> </v>
      </c>
      <c r="D1744" s="1409">
        <f t="shared" ref="D1744:D1749" si="314">(E1651)/1000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7"/>
        <v>0</v>
      </c>
      <c r="Q1744" s="985"/>
      <c r="R1744" s="985"/>
      <c r="S1744" s="985"/>
      <c r="T1744" s="1858">
        <f t="shared" si="312"/>
        <v>0</v>
      </c>
    </row>
    <row r="1745" spans="1:20" ht="22.2" hidden="1" customHeight="1">
      <c r="A1745" s="1444">
        <f>COUNTIF($C$12:C1745,"x")</f>
        <v>43</v>
      </c>
      <c r="B1745" s="1456" t="s">
        <v>1524</v>
      </c>
      <c r="C1745" s="966" t="str">
        <f t="shared" si="313"/>
        <v xml:space="preserve"> </v>
      </c>
      <c r="D1745" s="1409">
        <f t="shared" si="314"/>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7"/>
        <v>0</v>
      </c>
      <c r="Q1745" s="985"/>
      <c r="R1745" s="985"/>
      <c r="S1745" s="985"/>
      <c r="T1745" s="1858">
        <f t="shared" si="312"/>
        <v>0</v>
      </c>
    </row>
    <row r="1746" spans="1:20" ht="22.2" hidden="1" customHeight="1">
      <c r="A1746" s="1444">
        <f>COUNTIF($C$12:C1746,"x")</f>
        <v>43</v>
      </c>
      <c r="B1746" s="1456" t="s">
        <v>139</v>
      </c>
      <c r="C1746" s="966" t="str">
        <f t="shared" si="313"/>
        <v xml:space="preserve"> </v>
      </c>
      <c r="D1746" s="1409">
        <f t="shared" si="314"/>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7"/>
        <v>0</v>
      </c>
      <c r="Q1746" s="985"/>
      <c r="R1746" s="985"/>
      <c r="S1746" s="985"/>
      <c r="T1746" s="1858">
        <f t="shared" si="312"/>
        <v>0</v>
      </c>
    </row>
    <row r="1747" spans="1:20" ht="22.2" hidden="1" customHeight="1">
      <c r="A1747" s="1444">
        <f>COUNTIF($C$12:C1747,"x")</f>
        <v>43</v>
      </c>
      <c r="B1747" s="1456" t="s">
        <v>791</v>
      </c>
      <c r="C1747" s="966" t="str">
        <f t="shared" si="313"/>
        <v xml:space="preserve"> </v>
      </c>
      <c r="D1747" s="1409">
        <f t="shared" si="314"/>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7"/>
        <v>0</v>
      </c>
      <c r="Q1747" s="985"/>
      <c r="R1747" s="985"/>
      <c r="S1747" s="985"/>
      <c r="T1747" s="1858">
        <f t="shared" si="312"/>
        <v>0</v>
      </c>
    </row>
    <row r="1748" spans="1:20" ht="22.2" hidden="1" customHeight="1">
      <c r="A1748" s="1444">
        <f>COUNTIF($C$12:C1748,"x")</f>
        <v>43</v>
      </c>
      <c r="B1748" s="1456" t="s">
        <v>140</v>
      </c>
      <c r="C1748" s="966" t="str">
        <f t="shared" si="313"/>
        <v xml:space="preserve"> </v>
      </c>
      <c r="D1748" s="1409">
        <f t="shared" si="314"/>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7"/>
        <v>0</v>
      </c>
      <c r="Q1748" s="985"/>
      <c r="R1748" s="985"/>
      <c r="S1748" s="985"/>
      <c r="T1748" s="1858">
        <f t="shared" si="312"/>
        <v>0</v>
      </c>
    </row>
    <row r="1749" spans="1:20" ht="22.2" hidden="1" customHeight="1">
      <c r="A1749" s="1444">
        <f>COUNTIF($C$12:C1749,"x")</f>
        <v>43</v>
      </c>
      <c r="B1749" s="1456" t="s">
        <v>711</v>
      </c>
      <c r="C1749" s="966" t="str">
        <f t="shared" si="313"/>
        <v xml:space="preserve"> </v>
      </c>
      <c r="D1749" s="1409">
        <f t="shared" si="314"/>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7"/>
        <v>0</v>
      </c>
      <c r="Q1749" s="985"/>
      <c r="R1749" s="985"/>
      <c r="S1749" s="985"/>
      <c r="T1749" s="1858">
        <f t="shared" si="312"/>
        <v>0</v>
      </c>
    </row>
    <row r="1750" spans="1:20" ht="22.2" hidden="1" customHeight="1">
      <c r="A1750" s="1444">
        <f>COUNTIF($C$12:C1750,"x")</f>
        <v>43</v>
      </c>
      <c r="B1750" s="1456" t="s">
        <v>79</v>
      </c>
      <c r="C1750" s="966" t="str">
        <f t="shared" si="313"/>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7"/>
        <v>0</v>
      </c>
      <c r="Q1750" s="985"/>
      <c r="R1750" s="985"/>
      <c r="S1750" s="985"/>
      <c r="T1750" s="1858">
        <f t="shared" si="312"/>
        <v>0</v>
      </c>
    </row>
    <row r="1751" spans="1:20" ht="22.2" hidden="1" customHeight="1">
      <c r="A1751" s="1444">
        <f>COUNTIF($C$12:C1751,"x")</f>
        <v>43</v>
      </c>
      <c r="B1751" s="1456" t="s">
        <v>1509</v>
      </c>
      <c r="C1751" s="966" t="str">
        <f t="shared" si="313"/>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7"/>
        <v>0</v>
      </c>
      <c r="Q1751" s="985"/>
      <c r="R1751" s="985"/>
      <c r="S1751" s="985"/>
      <c r="T1751" s="1858">
        <f t="shared" si="312"/>
        <v>0</v>
      </c>
    </row>
    <row r="1752" spans="1:20" ht="22.2" hidden="1" customHeight="1">
      <c r="A1752" s="1444">
        <f>COUNTIF($C$12:C1752,"x")</f>
        <v>43</v>
      </c>
      <c r="B1752" s="1456" t="s">
        <v>1174</v>
      </c>
      <c r="C1752" s="966" t="str">
        <f t="shared" si="313"/>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7"/>
        <v>0</v>
      </c>
      <c r="Q1752" s="985"/>
      <c r="R1752" s="985"/>
      <c r="S1752" s="985"/>
      <c r="T1752" s="1858">
        <f t="shared" si="312"/>
        <v>0</v>
      </c>
    </row>
    <row r="1753" spans="1:20" ht="22.2" hidden="1" customHeight="1">
      <c r="A1753" s="1444">
        <f>COUNTIF($C$12:C1753,"x")</f>
        <v>43</v>
      </c>
      <c r="B1753" s="1456" t="s">
        <v>924</v>
      </c>
      <c r="C1753" s="966" t="str">
        <f t="shared" si="313"/>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7"/>
        <v>0</v>
      </c>
      <c r="Q1753" s="985"/>
      <c r="R1753" s="985"/>
      <c r="S1753" s="985"/>
      <c r="T1753" s="1858">
        <f t="shared" si="312"/>
        <v>0</v>
      </c>
    </row>
    <row r="1754" spans="1:20" ht="22.2" hidden="1" customHeight="1">
      <c r="A1754" s="1444">
        <f>COUNTIF($C$12:C1754,"x")</f>
        <v>43</v>
      </c>
      <c r="B1754" s="1456" t="s">
        <v>925</v>
      </c>
      <c r="C1754" s="966" t="str">
        <f t="shared" si="313"/>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7"/>
        <v>0</v>
      </c>
      <c r="Q1754" s="985"/>
      <c r="R1754" s="985"/>
      <c r="S1754" s="985"/>
      <c r="T1754" s="1858">
        <f t="shared" si="312"/>
        <v>0</v>
      </c>
    </row>
    <row r="1755" spans="1:20" ht="22.2" hidden="1" customHeight="1">
      <c r="A1755" s="1444">
        <f>COUNTIF($C$12:C1755,"x")</f>
        <v>43</v>
      </c>
      <c r="B1755" s="1456" t="s">
        <v>1441</v>
      </c>
      <c r="C1755" s="966" t="str">
        <f t="shared" si="313"/>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7"/>
        <v>0</v>
      </c>
      <c r="Q1755" s="985"/>
      <c r="R1755" s="985"/>
      <c r="S1755" s="985"/>
      <c r="T1755" s="1858">
        <f t="shared" si="312"/>
        <v>0</v>
      </c>
    </row>
    <row r="1756" spans="1:20" ht="22.2" hidden="1" customHeight="1">
      <c r="A1756" s="1444">
        <f>COUNTIF($C$12:C1756,"x")</f>
        <v>43</v>
      </c>
      <c r="B1756" s="1451" t="s">
        <v>347</v>
      </c>
      <c r="C1756" s="966" t="str">
        <f t="shared" si="313"/>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7"/>
        <v>0</v>
      </c>
      <c r="Q1756" s="985"/>
      <c r="R1756" s="985"/>
      <c r="S1756" s="985"/>
      <c r="T1756" s="1858">
        <f t="shared" si="312"/>
        <v>0</v>
      </c>
    </row>
    <row r="1757" spans="1:20" ht="22.2" hidden="1" customHeight="1">
      <c r="A1757" s="1444">
        <f>COUNTIF($C$12:C1757,"x")</f>
        <v>43</v>
      </c>
      <c r="B1757" s="1451" t="s">
        <v>348</v>
      </c>
      <c r="C1757" s="966" t="str">
        <f t="shared" si="313"/>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7"/>
        <v>0</v>
      </c>
      <c r="Q1757" s="985"/>
      <c r="R1757" s="985"/>
      <c r="S1757" s="985"/>
      <c r="T1757" s="1858">
        <f t="shared" si="312"/>
        <v>0</v>
      </c>
    </row>
    <row r="1758" spans="1:20" ht="22.2" hidden="1" customHeight="1">
      <c r="A1758" s="1444">
        <f>COUNTIF($C$12:C1758,"x")</f>
        <v>43</v>
      </c>
      <c r="B1758" s="1451" t="s">
        <v>349</v>
      </c>
      <c r="C1758" s="966" t="str">
        <f t="shared" si="313"/>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7"/>
        <v>0</v>
      </c>
      <c r="Q1758" s="985"/>
      <c r="R1758" s="985"/>
      <c r="S1758" s="985"/>
      <c r="T1758" s="1858">
        <f t="shared" si="312"/>
        <v>0</v>
      </c>
    </row>
    <row r="1759" spans="1:20" ht="22.2" hidden="1" customHeight="1">
      <c r="A1759" s="1444">
        <f>COUNTIF($C$12:C1759,"x")</f>
        <v>43</v>
      </c>
      <c r="B1759" s="1451" t="s">
        <v>350</v>
      </c>
      <c r="C1759" s="966" t="str">
        <f t="shared" si="313"/>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7"/>
        <v>0</v>
      </c>
      <c r="Q1759" s="990"/>
      <c r="R1759" s="990"/>
      <c r="S1759" s="990"/>
      <c r="T1759" s="1858">
        <f t="shared" si="312"/>
        <v>0</v>
      </c>
    </row>
    <row r="1760" spans="1:20" ht="22.2" hidden="1" customHeight="1">
      <c r="A1760" s="1444">
        <f>COUNTIF($C$12:C1760,"x")</f>
        <v>43</v>
      </c>
      <c r="B1760" s="1451" t="s">
        <v>1507</v>
      </c>
      <c r="C1760" s="966" t="str">
        <f t="shared" si="313"/>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7"/>
        <v>0</v>
      </c>
      <c r="Q1760" s="990"/>
      <c r="R1760" s="990"/>
      <c r="S1760" s="990"/>
      <c r="T1760" s="1858">
        <f t="shared" si="312"/>
        <v>0</v>
      </c>
    </row>
    <row r="1761" spans="1:20" ht="22.2" hidden="1" customHeight="1">
      <c r="A1761" s="1444">
        <f>COUNTIF($C$12:C1761,"x")</f>
        <v>43</v>
      </c>
      <c r="B1761" s="1451" t="s">
        <v>351</v>
      </c>
      <c r="C1761" s="966" t="str">
        <f t="shared" si="313"/>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7"/>
        <v>0</v>
      </c>
      <c r="Q1761" s="985"/>
      <c r="R1761" s="985"/>
      <c r="S1761" s="985"/>
      <c r="T1761" s="1858">
        <f t="shared" si="312"/>
        <v>0</v>
      </c>
    </row>
    <row r="1762" spans="1:20" ht="22.2" hidden="1" customHeight="1">
      <c r="A1762" s="1444">
        <f>COUNTIF($C$12:C1762,"x")</f>
        <v>43</v>
      </c>
      <c r="B1762" s="1451" t="s">
        <v>353</v>
      </c>
      <c r="C1762" s="966" t="str">
        <f t="shared" si="313"/>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7"/>
        <v>0</v>
      </c>
      <c r="Q1762" s="990"/>
      <c r="R1762" s="990"/>
      <c r="S1762" s="990"/>
      <c r="T1762" s="1858">
        <f t="shared" si="312"/>
        <v>0</v>
      </c>
    </row>
    <row r="1763" spans="1:20" ht="22.2" hidden="1" customHeight="1">
      <c r="A1763" s="1444">
        <f>COUNTIF($C$12:C1763,"x")</f>
        <v>43</v>
      </c>
      <c r="B1763" s="1451" t="s">
        <v>354</v>
      </c>
      <c r="C1763" s="966" t="str">
        <f t="shared" si="313"/>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7"/>
        <v>0</v>
      </c>
      <c r="Q1763" s="990"/>
      <c r="R1763" s="990"/>
      <c r="S1763" s="990"/>
      <c r="T1763" s="1858">
        <f t="shared" si="312"/>
        <v>0</v>
      </c>
    </row>
    <row r="1764" spans="1:20" ht="22.2" hidden="1" customHeight="1">
      <c r="A1764" s="1444">
        <f>COUNTIF($C$12:C1764,"x")</f>
        <v>43</v>
      </c>
      <c r="B1764" s="1451" t="s">
        <v>355</v>
      </c>
      <c r="C1764" s="966" t="str">
        <f t="shared" si="313"/>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7"/>
        <v>0</v>
      </c>
      <c r="Q1764" s="990"/>
      <c r="R1764" s="990"/>
      <c r="S1764" s="990"/>
      <c r="T1764" s="1858">
        <f t="shared" si="312"/>
        <v>0</v>
      </c>
    </row>
    <row r="1765" spans="1:20" ht="22.2" hidden="1" customHeight="1">
      <c r="A1765" s="1444">
        <f>COUNTIF($C$12:C1765,"x")</f>
        <v>43</v>
      </c>
      <c r="B1765" s="1451" t="s">
        <v>1902</v>
      </c>
      <c r="C1765" s="966" t="str">
        <f t="shared" si="313"/>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7"/>
        <v>0</v>
      </c>
      <c r="Q1765" s="990"/>
      <c r="R1765" s="990"/>
      <c r="S1765" s="990"/>
      <c r="T1765" s="1858">
        <f t="shared" si="312"/>
        <v>0</v>
      </c>
    </row>
    <row r="1766" spans="1:20" ht="22.2" hidden="1" customHeight="1">
      <c r="A1766" s="1444">
        <f>COUNTIF($C$12:C1766,"x")</f>
        <v>43</v>
      </c>
      <c r="B1766" s="1462" t="s">
        <v>356</v>
      </c>
      <c r="C1766" s="966" t="str">
        <f t="shared" si="313"/>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7"/>
        <v>0</v>
      </c>
      <c r="Q1766" s="990"/>
      <c r="R1766" s="990"/>
      <c r="S1766" s="990"/>
      <c r="T1766" s="1858">
        <f t="shared" si="312"/>
        <v>0</v>
      </c>
    </row>
    <row r="1767" spans="1:20" ht="22.2" hidden="1" customHeight="1">
      <c r="A1767" s="1444">
        <f>COUNTIF($C$12:C1767,"x")</f>
        <v>43</v>
      </c>
      <c r="B1767" s="1462" t="s">
        <v>357</v>
      </c>
      <c r="C1767" s="966" t="str">
        <f t="shared" si="313"/>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7"/>
        <v>0</v>
      </c>
      <c r="Q1767" s="990"/>
      <c r="R1767" s="990"/>
      <c r="S1767" s="990"/>
      <c r="T1767" s="1858">
        <f t="shared" si="312"/>
        <v>0</v>
      </c>
    </row>
    <row r="1768" spans="1:20" ht="22.2" hidden="1" customHeight="1">
      <c r="A1768" s="1444">
        <f>COUNTIF($C$12:C1768,"x")</f>
        <v>43</v>
      </c>
      <c r="B1768" s="1460" t="s">
        <v>606</v>
      </c>
      <c r="C1768" s="966" t="str">
        <f t="shared" si="313"/>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7"/>
        <v>0</v>
      </c>
      <c r="Q1768" s="990"/>
      <c r="R1768" s="990"/>
      <c r="S1768" s="990"/>
      <c r="T1768" s="1858">
        <f t="shared" si="312"/>
        <v>0</v>
      </c>
    </row>
    <row r="1769" spans="1:20" ht="22.2" hidden="1" customHeight="1">
      <c r="A1769" s="1444">
        <f>COUNTIF($C$12:C1769,"x")</f>
        <v>43</v>
      </c>
      <c r="B1769" s="1448" t="s">
        <v>1919</v>
      </c>
      <c r="C1769" s="1697" t="str">
        <f>IF(K1769&lt;&gt;0,"x"," ")</f>
        <v xml:space="preserve"> </v>
      </c>
      <c r="D1769" s="1408">
        <f>IF(SUM(D1770:D1790)&lt;&gt;0,1,0)</f>
        <v>1</v>
      </c>
      <c r="E1769" s="978">
        <v>1</v>
      </c>
      <c r="F1769" s="1272" t="s">
        <v>4466</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2" hidden="1" customHeight="1">
      <c r="A1770" s="1444">
        <f>COUNTIF($C$12:C1770,"x")</f>
        <v>43</v>
      </c>
      <c r="B1770" s="1451" t="s">
        <v>728</v>
      </c>
      <c r="C1770" s="966" t="str">
        <f t="shared" si="313"/>
        <v xml:space="preserve"> </v>
      </c>
      <c r="D1770" s="1414">
        <f>ROUND(E1770*1.02*0.921,2)</f>
        <v>0</v>
      </c>
      <c r="E1770" s="993"/>
      <c r="F1770" s="988" t="str">
        <f>VLOOKUP($B1770,DG!A:D,DG!$C$2,)</f>
        <v>Cáp nhôm lõi thép AC-240/39</v>
      </c>
      <c r="G1770" s="976" t="str">
        <f>VLOOKUP($B1770,DG!A:D,DG!$D$2,)</f>
        <v>kg</v>
      </c>
      <c r="H1770" s="1689">
        <f t="shared" ref="H1770:H1790" si="315">$D1770</f>
        <v>0</v>
      </c>
      <c r="I1770" s="1689"/>
      <c r="J1770" s="1689"/>
      <c r="K1770" s="1689">
        <f>IFERROR(HLOOKUP(B1770,pp3p1m!$1:$3,3,0),0)</f>
        <v>0</v>
      </c>
      <c r="L1770" s="1689"/>
      <c r="M1770" s="1689"/>
      <c r="N1770" s="1689"/>
      <c r="O1770" s="1689"/>
      <c r="P1770" s="1689">
        <f t="shared" si="307"/>
        <v>0</v>
      </c>
      <c r="Q1770" s="2668"/>
      <c r="R1770" s="2668"/>
      <c r="S1770" s="985"/>
      <c r="T1770" s="1858">
        <f>IFERROR(HLOOKUP(B1770,pp3p1m!2:4,3,0),0)</f>
        <v>0</v>
      </c>
    </row>
    <row r="1771" spans="1:20" ht="22.2" hidden="1" customHeight="1">
      <c r="A1771" s="1444">
        <f>COUNTIF($C$12:C1771,"x")</f>
        <v>43</v>
      </c>
      <c r="B1771" s="1451" t="s">
        <v>729</v>
      </c>
      <c r="C1771" s="966" t="str">
        <f t="shared" si="313"/>
        <v xml:space="preserve"> </v>
      </c>
      <c r="D1771" s="1416">
        <f>ROUND(E1771*1.02*0.728,2)</f>
        <v>0</v>
      </c>
      <c r="E1771" s="993"/>
      <c r="F1771" s="988" t="str">
        <f>VLOOKUP($B1771,DG!A:D,DG!$C$2,)</f>
        <v>Cáp nhôm lõi thép AC-185/29</v>
      </c>
      <c r="G1771" s="976" t="str">
        <f>VLOOKUP($B1771,DG!A:D,DG!$D$2,)</f>
        <v>kg</v>
      </c>
      <c r="H1771" s="1689">
        <f t="shared" si="315"/>
        <v>0</v>
      </c>
      <c r="I1771" s="1689"/>
      <c r="J1771" s="1689"/>
      <c r="K1771" s="1689">
        <f>IFERROR(HLOOKUP(B1771,pp3p1m!$1:$3,3,0),0)</f>
        <v>0</v>
      </c>
      <c r="L1771" s="1689"/>
      <c r="M1771" s="1689"/>
      <c r="N1771" s="1689"/>
      <c r="O1771" s="1689"/>
      <c r="P1771" s="1689">
        <f t="shared" si="307"/>
        <v>0</v>
      </c>
      <c r="Q1771" s="2668"/>
      <c r="R1771" s="2668"/>
      <c r="S1771" s="985"/>
      <c r="T1771" s="1858">
        <f>IFERROR(HLOOKUP(B1771,pp3p1m!3:5,3,0),0)</f>
        <v>0</v>
      </c>
    </row>
    <row r="1772" spans="1:20" ht="22.2" hidden="1" customHeight="1">
      <c r="A1772" s="1444">
        <f>COUNTIF($C$12:C1772,"x")</f>
        <v>43</v>
      </c>
      <c r="B1772" s="1451" t="s">
        <v>841</v>
      </c>
      <c r="C1772" s="966" t="str">
        <f t="shared" si="313"/>
        <v xml:space="preserve"> </v>
      </c>
      <c r="D1772" s="1414">
        <f>ROUND(E1772*1.02*0.599,2)</f>
        <v>0</v>
      </c>
      <c r="E1772" s="993"/>
      <c r="F1772" s="988" t="str">
        <f>VLOOKUP($B1772,DG!A:D,DG!$C$2,)</f>
        <v>Cáp nhôm lõi thép AC-150/24</v>
      </c>
      <c r="G1772" s="976" t="str">
        <f>VLOOKUP($B1772,DG!A:D,DG!$D$2,)</f>
        <v>kg</v>
      </c>
      <c r="H1772" s="1689">
        <f t="shared" si="315"/>
        <v>0</v>
      </c>
      <c r="I1772" s="1689"/>
      <c r="J1772" s="1689"/>
      <c r="K1772" s="1689">
        <f>IFERROR(HLOOKUP(B1772,pp3p1m!$1:$3,3,0),0)</f>
        <v>0</v>
      </c>
      <c r="L1772" s="1689"/>
      <c r="M1772" s="1689"/>
      <c r="N1772" s="1689"/>
      <c r="O1772" s="1689"/>
      <c r="P1772" s="1689">
        <f t="shared" ref="P1772:P1835" si="316">H1772+Q1772-R1772</f>
        <v>0</v>
      </c>
      <c r="Q1772" s="2668"/>
      <c r="R1772" s="2668"/>
      <c r="S1772" s="985"/>
      <c r="T1772" s="1858">
        <f>IFERROR(HLOOKUP(B1772,pp3p1m!4:6,3,0),0)</f>
        <v>0</v>
      </c>
    </row>
    <row r="1773" spans="1:20" ht="22.2" hidden="1" customHeight="1">
      <c r="A1773" s="1444">
        <f>COUNTIF($C$12:C1773,"x")</f>
        <v>43</v>
      </c>
      <c r="B1773" s="1451" t="s">
        <v>539</v>
      </c>
      <c r="C1773" s="966" t="str">
        <f t="shared" si="313"/>
        <v xml:space="preserve"> </v>
      </c>
      <c r="D1773" s="1416">
        <f>ROUND(E1773*1.02*0.471,2)</f>
        <v>0</v>
      </c>
      <c r="E1773" s="993"/>
      <c r="F1773" s="988" t="str">
        <f>VLOOKUP($B1773,DG!A:D,DG!$C$2,)</f>
        <v>Cáp nhôm lõi thép AC-120/19</v>
      </c>
      <c r="G1773" s="976" t="str">
        <f>VLOOKUP($B1773,DG!A:D,DG!$D$2,)</f>
        <v>kg</v>
      </c>
      <c r="H1773" s="1689">
        <f t="shared" si="315"/>
        <v>0</v>
      </c>
      <c r="I1773" s="1689"/>
      <c r="J1773" s="1689"/>
      <c r="K1773" s="1689">
        <f>IFERROR(HLOOKUP(B1773,pp3p1m!$1:$3,3,0),0)</f>
        <v>0</v>
      </c>
      <c r="L1773" s="1689"/>
      <c r="M1773" s="1689"/>
      <c r="N1773" s="1689"/>
      <c r="O1773" s="1689"/>
      <c r="P1773" s="1689">
        <f t="shared" si="316"/>
        <v>0</v>
      </c>
      <c r="Q1773" s="2668"/>
      <c r="R1773" s="2668"/>
      <c r="S1773" s="985"/>
      <c r="T1773" s="1858">
        <f>IFERROR(HLOOKUP(B1773,pp3p1m!5:7,3,0),0)</f>
        <v>0</v>
      </c>
    </row>
    <row r="1774" spans="1:20" ht="22.2" hidden="1" customHeight="1">
      <c r="A1774" s="1444">
        <f>COUNTIF($C$12:C1774,"x")</f>
        <v>43</v>
      </c>
      <c r="B1774" s="1451" t="s">
        <v>269</v>
      </c>
      <c r="C1774" s="966" t="str">
        <f t="shared" si="313"/>
        <v xml:space="preserve"> </v>
      </c>
      <c r="D1774" s="1411">
        <f>ROUND(E1774*1.02*0.385,2)</f>
        <v>0</v>
      </c>
      <c r="E1774" s="993"/>
      <c r="F1774" s="988" t="str">
        <f>VLOOKUP($B1774,DG!A:D,DG!$C$2,)</f>
        <v>Cáp nhôm lõi thép AC-95/16</v>
      </c>
      <c r="G1774" s="976" t="str">
        <f>VLOOKUP($B1774,DG!A:D,DG!$D$2,)</f>
        <v>kg</v>
      </c>
      <c r="H1774" s="1689">
        <f t="shared" si="315"/>
        <v>0</v>
      </c>
      <c r="I1774" s="1689"/>
      <c r="J1774" s="1689"/>
      <c r="K1774" s="1689">
        <f>IFERROR(HLOOKUP(B1774,pp3p1m!$1:$3,3,0),0)</f>
        <v>0</v>
      </c>
      <c r="L1774" s="1689"/>
      <c r="M1774" s="1689"/>
      <c r="N1774" s="1689"/>
      <c r="O1774" s="1689"/>
      <c r="P1774" s="1689">
        <f t="shared" si="316"/>
        <v>0</v>
      </c>
      <c r="Q1774" s="2668"/>
      <c r="R1774" s="2668"/>
      <c r="S1774" s="985"/>
      <c r="T1774" s="1858">
        <f>IFERROR(HLOOKUP(B1774,pp3p1m!$1:$3,3,0),0)</f>
        <v>0</v>
      </c>
    </row>
    <row r="1775" spans="1:20" ht="22.2" hidden="1" customHeight="1">
      <c r="A1775" s="1444">
        <f>COUNTIF($C$12:C1775,"x")</f>
        <v>43</v>
      </c>
      <c r="B1775" s="1451" t="s">
        <v>1239</v>
      </c>
      <c r="C1775" s="966" t="str">
        <f t="shared" si="313"/>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6"/>
        <v>0</v>
      </c>
      <c r="Q1775" s="985"/>
      <c r="R1775" s="985"/>
      <c r="S1775" s="985"/>
      <c r="T1775" s="1858">
        <f>IFERROR(HLOOKUP(B1775,pp3p1m!$1:$3,3,0),0)</f>
        <v>0</v>
      </c>
    </row>
    <row r="1776" spans="1:20" ht="22.2" hidden="1" customHeight="1">
      <c r="A1776" s="1444">
        <f>COUNTIF($C$12:C1776,"x")</f>
        <v>43</v>
      </c>
      <c r="B1776" s="1447" t="s">
        <v>88</v>
      </c>
      <c r="C1776" s="1697" t="str">
        <f t="shared" si="313"/>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6"/>
        <v>0</v>
      </c>
      <c r="Q1776" s="2668"/>
      <c r="R1776" s="985"/>
      <c r="S1776" s="985"/>
      <c r="T1776" s="1858">
        <f>IFERROR(HLOOKUP(B1776,pp3p1m!$1:$3,3,0),0)</f>
        <v>0</v>
      </c>
    </row>
    <row r="1777" spans="1:20" ht="22.2" hidden="1" customHeight="1">
      <c r="A1777" s="1444">
        <f>COUNTIF($C$12:C1777,"x")</f>
        <v>43</v>
      </c>
      <c r="B1777" s="1447" t="s">
        <v>6528</v>
      </c>
      <c r="C1777" s="1697" t="str">
        <f t="shared" si="313"/>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6"/>
        <v>0</v>
      </c>
      <c r="Q1777" s="2668"/>
      <c r="R1777" s="985"/>
      <c r="S1777" s="985"/>
      <c r="T1777" s="1858">
        <f>IFERROR(HLOOKUP(B1777,pp3p1m!$1:$3,3,0),0)</f>
        <v>0</v>
      </c>
    </row>
    <row r="1778" spans="1:20" ht="22.2" hidden="1" customHeight="1">
      <c r="A1778" s="1444">
        <f>COUNTIF($C$12:C1778,"x")</f>
        <v>43</v>
      </c>
      <c r="B1778" s="1447" t="s">
        <v>6529</v>
      </c>
      <c r="C1778" s="1697" t="str">
        <f t="shared" ref="C1778:C1779" si="317">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8">H1778+Q1778-R1778</f>
        <v>0</v>
      </c>
      <c r="Q1778" s="2668"/>
      <c r="R1778" s="985"/>
      <c r="S1778" s="985"/>
      <c r="T1778" s="1858">
        <f>IFERROR(HLOOKUP(B1778,pp3p1m!$1:$3,3,0),0)</f>
        <v>0</v>
      </c>
    </row>
    <row r="1779" spans="1:20" ht="22.2" hidden="1" customHeight="1">
      <c r="A1779" s="1444">
        <f>COUNTIF($C$12:C1779,"x")</f>
        <v>43</v>
      </c>
      <c r="B1779" s="1451" t="s">
        <v>4902</v>
      </c>
      <c r="C1779" s="966" t="str">
        <f t="shared" si="317"/>
        <v xml:space="preserve"> </v>
      </c>
      <c r="D1779" s="1411">
        <f t="shared" ref="D1779" si="319">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8"/>
        <v>0</v>
      </c>
      <c r="Q1779" s="2668"/>
      <c r="R1779" s="2668"/>
      <c r="S1779" s="985"/>
      <c r="T1779" s="1858">
        <f>IFERROR(HLOOKUP(B1779,pp3p1m!$1:$3,3,0),0)</f>
        <v>0</v>
      </c>
    </row>
    <row r="1780" spans="1:20" ht="22.2" hidden="1" customHeight="1">
      <c r="A1780" s="1444">
        <f>COUNTIF($C$12:C1780,"x")</f>
        <v>43</v>
      </c>
      <c r="B1780" s="1451" t="s">
        <v>6514</v>
      </c>
      <c r="C1780" s="966" t="str">
        <f t="shared" si="313"/>
        <v xml:space="preserve"> </v>
      </c>
      <c r="D1780" s="1411">
        <f t="shared" ref="D1780:D1788" si="320">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6"/>
        <v>0</v>
      </c>
      <c r="Q1780" s="2668"/>
      <c r="R1780" s="2668"/>
      <c r="S1780" s="985"/>
      <c r="T1780" s="1858">
        <f>IFERROR(HLOOKUP(B1780,pp3p1m!$1:$3,3,0),0)</f>
        <v>0</v>
      </c>
    </row>
    <row r="1781" spans="1:20" ht="22.2" hidden="1" customHeight="1">
      <c r="A1781" s="1444">
        <f>COUNTIF($C$12:C1781,"x")</f>
        <v>43</v>
      </c>
      <c r="B1781" s="1451" t="s">
        <v>1031</v>
      </c>
      <c r="C1781" s="966" t="str">
        <f t="shared" si="313"/>
        <v xml:space="preserve"> </v>
      </c>
      <c r="D1781" s="1411">
        <f t="shared" si="320"/>
        <v>0</v>
      </c>
      <c r="E1781" s="993"/>
      <c r="F1781" s="988" t="str">
        <f>VLOOKUP($B1781,DG!A:D,DG!$C$2,)</f>
        <v>Cáp 24KV A/XLPE/PVC 185mm2</v>
      </c>
      <c r="G1781" s="976" t="str">
        <f>VLOOKUP($B1781,DG!A:D,DG!$D$2,)</f>
        <v>mét</v>
      </c>
      <c r="H1781" s="1689">
        <f t="shared" si="315"/>
        <v>0</v>
      </c>
      <c r="I1781" s="1689"/>
      <c r="J1781" s="1689"/>
      <c r="K1781" s="1689">
        <f>IFERROR(HLOOKUP(B1781,pp3p1m!$1:$3,3,0),0)</f>
        <v>0</v>
      </c>
      <c r="L1781" s="1689"/>
      <c r="M1781" s="1689"/>
      <c r="N1781" s="1689"/>
      <c r="O1781" s="1689"/>
      <c r="P1781" s="1689">
        <f t="shared" si="316"/>
        <v>0</v>
      </c>
      <c r="Q1781" s="2668"/>
      <c r="R1781" s="2668"/>
      <c r="S1781" s="985"/>
      <c r="T1781" s="1858">
        <f>IFERROR(HLOOKUP(B1781,pp3p1m!$1:$3,3,0),0)</f>
        <v>0</v>
      </c>
    </row>
    <row r="1782" spans="1:20" ht="22.2" hidden="1" customHeight="1">
      <c r="A1782" s="1444">
        <f>COUNTIF($C$12:C1782,"x")</f>
        <v>43</v>
      </c>
      <c r="B1782" s="1451" t="s">
        <v>1032</v>
      </c>
      <c r="C1782" s="966" t="str">
        <f t="shared" si="313"/>
        <v xml:space="preserve"> </v>
      </c>
      <c r="D1782" s="1411">
        <f t="shared" si="320"/>
        <v>0</v>
      </c>
      <c r="E1782" s="993"/>
      <c r="F1782" s="988" t="str">
        <f>VLOOKUP($B1782,DG!A:D,DG!$C$2,)</f>
        <v>Cáp 24KV A/XLPE/PVC 150mm2</v>
      </c>
      <c r="G1782" s="976" t="str">
        <f>VLOOKUP($B1782,DG!A:D,DG!$D$2,)</f>
        <v>mét</v>
      </c>
      <c r="H1782" s="1689">
        <f t="shared" si="315"/>
        <v>0</v>
      </c>
      <c r="I1782" s="1689"/>
      <c r="J1782" s="1689"/>
      <c r="K1782" s="1689">
        <f>IFERROR(HLOOKUP(B1782,pp3p1m!$1:$3,3,0),0)</f>
        <v>0</v>
      </c>
      <c r="L1782" s="1689"/>
      <c r="M1782" s="1689"/>
      <c r="N1782" s="1689"/>
      <c r="O1782" s="1689"/>
      <c r="P1782" s="1689">
        <f t="shared" si="316"/>
        <v>0</v>
      </c>
      <c r="Q1782" s="2668"/>
      <c r="R1782" s="2668"/>
      <c r="S1782" s="985"/>
      <c r="T1782" s="1858">
        <f>IFERROR(HLOOKUP(B1782,pp3p1m!$1:$3,3,0),0)</f>
        <v>0</v>
      </c>
    </row>
    <row r="1783" spans="1:20" ht="22.2" hidden="1" customHeight="1">
      <c r="A1783" s="1444">
        <f>COUNTIF($C$12:C1783,"x")</f>
        <v>43</v>
      </c>
      <c r="B1783" s="1451" t="s">
        <v>657</v>
      </c>
      <c r="C1783" s="966" t="str">
        <f t="shared" si="313"/>
        <v xml:space="preserve"> </v>
      </c>
      <c r="D1783" s="1411">
        <f t="shared" si="320"/>
        <v>0</v>
      </c>
      <c r="E1783" s="993"/>
      <c r="F1783" s="988" t="str">
        <f>VLOOKUP($B1783,DG!A:D,DG!$C$2,)</f>
        <v>Cáp 24KV A/XLPE/PVC 120mm2</v>
      </c>
      <c r="G1783" s="976" t="str">
        <f>VLOOKUP($B1783,DG!A:D,DG!$D$2,)</f>
        <v>mét</v>
      </c>
      <c r="H1783" s="1689">
        <f t="shared" si="315"/>
        <v>0</v>
      </c>
      <c r="I1783" s="1689"/>
      <c r="J1783" s="1689"/>
      <c r="K1783" s="1689">
        <f>IFERROR(HLOOKUP(B1783,pp3p1m!$1:$3,3,0),0)</f>
        <v>0</v>
      </c>
      <c r="L1783" s="1689"/>
      <c r="M1783" s="1689"/>
      <c r="N1783" s="1689"/>
      <c r="O1783" s="1689"/>
      <c r="P1783" s="1689">
        <f t="shared" si="316"/>
        <v>0</v>
      </c>
      <c r="Q1783" s="2668"/>
      <c r="R1783" s="2668"/>
      <c r="S1783" s="985"/>
      <c r="T1783" s="1858">
        <f>IFERROR(HLOOKUP(B1783,pp3p1m!$1:$3,3,0),0)</f>
        <v>0</v>
      </c>
    </row>
    <row r="1784" spans="1:20" ht="22.2" hidden="1" customHeight="1">
      <c r="A1784" s="1444">
        <f>COUNTIF($C$12:C1784,"x")</f>
        <v>43</v>
      </c>
      <c r="B1784" s="1451" t="s">
        <v>57</v>
      </c>
      <c r="C1784" s="966" t="str">
        <f t="shared" si="313"/>
        <v xml:space="preserve"> </v>
      </c>
      <c r="D1784" s="1411">
        <f t="shared" si="320"/>
        <v>0</v>
      </c>
      <c r="E1784" s="993"/>
      <c r="F1784" s="988" t="str">
        <f>VLOOKUP($B1784,DG!A:D,DG!$C$2,)</f>
        <v>Cáp 24KV A/XLPE/PVC 95mm2</v>
      </c>
      <c r="G1784" s="976" t="str">
        <f>VLOOKUP($B1784,DG!A:D,DG!$D$2,)</f>
        <v>mét</v>
      </c>
      <c r="H1784" s="1689">
        <f t="shared" si="315"/>
        <v>0</v>
      </c>
      <c r="I1784" s="1689"/>
      <c r="J1784" s="1689"/>
      <c r="K1784" s="1689">
        <f>IFERROR(HLOOKUP(B1784,pp3p1m!$1:$3,3,0),0)</f>
        <v>0</v>
      </c>
      <c r="L1784" s="1689"/>
      <c r="M1784" s="1689"/>
      <c r="N1784" s="1689"/>
      <c r="O1784" s="1689"/>
      <c r="P1784" s="1689">
        <f t="shared" si="316"/>
        <v>0</v>
      </c>
      <c r="Q1784" s="2668"/>
      <c r="R1784" s="2668"/>
      <c r="S1784" s="985"/>
      <c r="T1784" s="1858">
        <f>IFERROR(HLOOKUP(B1784,pp3p1m!$1:$3,3,0),0)</f>
        <v>0</v>
      </c>
    </row>
    <row r="1785" spans="1:20" ht="22.2" hidden="1" customHeight="1">
      <c r="A1785" s="1444">
        <f>COUNTIF($C$12:C1785,"x")</f>
        <v>43</v>
      </c>
      <c r="B1785" s="1451" t="s">
        <v>56</v>
      </c>
      <c r="C1785" s="966" t="str">
        <f t="shared" si="313"/>
        <v xml:space="preserve"> </v>
      </c>
      <c r="D1785" s="1411">
        <f t="shared" si="320"/>
        <v>0</v>
      </c>
      <c r="E1785" s="993"/>
      <c r="F1785" s="988" t="str">
        <f>VLOOKUP($B1785,DG!A:D,DG!$C$2,)</f>
        <v>Cáp 24KV A/XLPE/PVC 70mm2</v>
      </c>
      <c r="G1785" s="976" t="str">
        <f>VLOOKUP($B1785,DG!A:D,DG!$D$2,)</f>
        <v>mét</v>
      </c>
      <c r="H1785" s="1689">
        <f t="shared" si="315"/>
        <v>0</v>
      </c>
      <c r="I1785" s="1689"/>
      <c r="J1785" s="1689"/>
      <c r="K1785" s="1689">
        <f>IFERROR(HLOOKUP(B1785,pp3p1m!$1:$3,3,0),0)</f>
        <v>0</v>
      </c>
      <c r="L1785" s="1689"/>
      <c r="M1785" s="1689"/>
      <c r="N1785" s="1689"/>
      <c r="O1785" s="1689"/>
      <c r="P1785" s="1689">
        <f t="shared" si="316"/>
        <v>0</v>
      </c>
      <c r="Q1785" s="2668"/>
      <c r="R1785" s="2668"/>
      <c r="S1785" s="985"/>
      <c r="T1785" s="1858">
        <f>IFERROR(HLOOKUP(B1785,pp3p1m!$1:$3,3,0),0)</f>
        <v>0</v>
      </c>
    </row>
    <row r="1786" spans="1:20" ht="22.2" hidden="1" customHeight="1">
      <c r="A1786" s="1444">
        <f>COUNTIF($C$12:C1786,"x")</f>
        <v>43</v>
      </c>
      <c r="B1786" s="1451" t="s">
        <v>55</v>
      </c>
      <c r="C1786" s="966" t="str">
        <f t="shared" si="313"/>
        <v xml:space="preserve"> </v>
      </c>
      <c r="D1786" s="1421">
        <f t="shared" si="320"/>
        <v>0</v>
      </c>
      <c r="E1786" s="993"/>
      <c r="F1786" s="988" t="str">
        <f>VLOOKUP($B1786,DG!A:D,DG!$C$2,)</f>
        <v>Cáp 24KV A/XLPE/PVC 50mm2</v>
      </c>
      <c r="G1786" s="976" t="str">
        <f>VLOOKUP($B1786,DG!A:D,DG!$D$2,)</f>
        <v>mét</v>
      </c>
      <c r="H1786" s="1689">
        <f t="shared" si="315"/>
        <v>0</v>
      </c>
      <c r="I1786" s="1689"/>
      <c r="J1786" s="1689"/>
      <c r="K1786" s="1689">
        <f>IFERROR(HLOOKUP(B1786,pp3p1m!$1:$3,3,0),0)</f>
        <v>0</v>
      </c>
      <c r="L1786" s="1689"/>
      <c r="M1786" s="1689"/>
      <c r="N1786" s="1689"/>
      <c r="O1786" s="1689"/>
      <c r="P1786" s="1689">
        <f t="shared" si="316"/>
        <v>0</v>
      </c>
      <c r="Q1786" s="2668"/>
      <c r="R1786" s="2668"/>
      <c r="S1786" s="985"/>
      <c r="T1786" s="1858">
        <f>IFERROR(HLOOKUP(B1786,pp3p1m!$1:$3,3,0),0)</f>
        <v>0</v>
      </c>
    </row>
    <row r="1787" spans="1:20" ht="22.2" hidden="1" customHeight="1">
      <c r="A1787" s="1444">
        <f>COUNTIF($C$12:C1787,"x")</f>
        <v>43</v>
      </c>
      <c r="B1787" s="1474" t="s">
        <v>55</v>
      </c>
      <c r="C1787" s="966" t="str">
        <f t="shared" si="313"/>
        <v xml:space="preserve"> </v>
      </c>
      <c r="D1787" s="1421">
        <f t="shared" si="320"/>
        <v>0</v>
      </c>
      <c r="E1787" s="1285"/>
      <c r="F1787" s="988" t="str">
        <f>VLOOKUP($B1787,DG!A:D,DG!$C$2,)</f>
        <v>Cáp 24KV A/XLPE/PVC 50mm2</v>
      </c>
      <c r="G1787" s="976" t="s">
        <v>2532</v>
      </c>
      <c r="H1787" s="1689">
        <f t="shared" si="315"/>
        <v>0</v>
      </c>
      <c r="I1787" s="1689"/>
      <c r="J1787" s="1689"/>
      <c r="K1787" s="1689">
        <f>IFERROR(HLOOKUP(B1787,pp3p1m!$1:$3,3,0),0)</f>
        <v>0</v>
      </c>
      <c r="L1787" s="1689"/>
      <c r="M1787" s="1689"/>
      <c r="N1787" s="1689"/>
      <c r="O1787" s="1691"/>
      <c r="P1787" s="1689">
        <f t="shared" si="316"/>
        <v>0</v>
      </c>
      <c r="Q1787" s="2668"/>
      <c r="R1787" s="2668"/>
      <c r="S1787" s="991"/>
      <c r="T1787" s="1858">
        <f>IFERROR(HLOOKUP(B1787,pp3p1m!$1:$3,3,0),0)</f>
        <v>0</v>
      </c>
    </row>
    <row r="1788" spans="1:20" ht="22.2" hidden="1" customHeight="1">
      <c r="A1788" s="1444">
        <f>COUNTIF($C$12:C1788,"x")</f>
        <v>43</v>
      </c>
      <c r="B1788" s="1451" t="s">
        <v>271</v>
      </c>
      <c r="C1788" s="966" t="str">
        <f t="shared" si="313"/>
        <v xml:space="preserve"> </v>
      </c>
      <c r="D1788" s="1417">
        <f t="shared" si="320"/>
        <v>0</v>
      </c>
      <c r="E1788" s="993"/>
      <c r="F1788" s="988" t="str">
        <f>VLOOKUP($B1788,DG!A:D,DG!$C$2,)</f>
        <v>Cáp 24KV C/XLPE/PVC 50mm2</v>
      </c>
      <c r="G1788" s="976" t="s">
        <v>2532</v>
      </c>
      <c r="H1788" s="1689">
        <f t="shared" si="315"/>
        <v>0</v>
      </c>
      <c r="I1788" s="1689"/>
      <c r="J1788" s="1689"/>
      <c r="K1788" s="1689">
        <f>IFERROR(HLOOKUP(B1788,pp3p1m!$1:$3,3,0),0)</f>
        <v>0</v>
      </c>
      <c r="L1788" s="1689"/>
      <c r="M1788" s="1689"/>
      <c r="N1788" s="1689"/>
      <c r="O1788" s="1689"/>
      <c r="P1788" s="1689">
        <f t="shared" si="316"/>
        <v>0</v>
      </c>
      <c r="Q1788" s="2668"/>
      <c r="R1788" s="2668"/>
      <c r="S1788" s="991"/>
      <c r="T1788" s="1858">
        <f>IFERROR(HLOOKUP(B1788,pp3p1m!$1:$3,3,0),0)</f>
        <v>0</v>
      </c>
    </row>
    <row r="1789" spans="1:20" ht="22.2" hidden="1" customHeight="1">
      <c r="A1789" s="1444">
        <f>COUNTIF($C$12:C1789,"x")</f>
        <v>43</v>
      </c>
      <c r="B1789" s="1451" t="s">
        <v>1033</v>
      </c>
      <c r="C1789" s="966" t="str">
        <f t="shared" si="313"/>
        <v xml:space="preserve"> </v>
      </c>
      <c r="D1789" s="1421">
        <f>ROUND(E1789*1.02*0.224,2)</f>
        <v>0</v>
      </c>
      <c r="E1789" s="1285"/>
      <c r="F1789" s="988" t="str">
        <f>VLOOKUP($B1789,DG!A:D,DG!$C$2,)</f>
        <v>Cáp đồng trần M25mm2</v>
      </c>
      <c r="G1789" s="976" t="str">
        <f>VLOOKUP($B1789,DG!A:D,DG!$D$2,)</f>
        <v>kg</v>
      </c>
      <c r="H1789" s="1689">
        <f t="shared" si="315"/>
        <v>0</v>
      </c>
      <c r="I1789" s="1689"/>
      <c r="J1789" s="1689"/>
      <c r="K1789" s="1689">
        <f>IFERROR(HLOOKUP(B1789,pp3p1m!$1:$3,3,0),0)</f>
        <v>0</v>
      </c>
      <c r="L1789" s="1689"/>
      <c r="M1789" s="1689"/>
      <c r="N1789" s="1689"/>
      <c r="O1789" s="1691"/>
      <c r="P1789" s="1689">
        <f t="shared" si="316"/>
        <v>0</v>
      </c>
      <c r="Q1789" s="2668"/>
      <c r="R1789" s="2668"/>
      <c r="S1789" s="991"/>
      <c r="T1789" s="1858">
        <f>IFERROR(HLOOKUP(B1789,pp3p1m!$1:$3,3,0),0)</f>
        <v>0</v>
      </c>
    </row>
    <row r="1790" spans="1:20" ht="22.2" hidden="1" customHeight="1">
      <c r="A1790" s="1444">
        <f>COUNTIF($C$12:C1790,"x")</f>
        <v>43</v>
      </c>
      <c r="B1790" s="1451" t="s">
        <v>612</v>
      </c>
      <c r="C1790" s="966" t="str">
        <f t="shared" si="313"/>
        <v xml:space="preserve"> </v>
      </c>
      <c r="D1790" s="1417">
        <f>ROUND(E1790*1.02*0.224,2)</f>
        <v>0</v>
      </c>
      <c r="E1790" s="1269"/>
      <c r="F1790" s="988" t="str">
        <f>VLOOKUP($B1790,DG!A:D,DG!$C$2,)</f>
        <v>Cáp đồng trần M38mm2</v>
      </c>
      <c r="G1790" s="976" t="str">
        <f>VLOOKUP($B1790,DG!A:D,DG!$D$2,)</f>
        <v>kg</v>
      </c>
      <c r="H1790" s="1689">
        <f t="shared" si="315"/>
        <v>0</v>
      </c>
      <c r="I1790" s="1689"/>
      <c r="J1790" s="1689"/>
      <c r="K1790" s="1689">
        <f>IFERROR(HLOOKUP(B1790,pp3p1m!$1:$3,3,0),0)</f>
        <v>0</v>
      </c>
      <c r="L1790" s="1689"/>
      <c r="M1790" s="1689"/>
      <c r="N1790" s="1689"/>
      <c r="O1790" s="1689"/>
      <c r="P1790" s="1689">
        <f t="shared" si="316"/>
        <v>0</v>
      </c>
      <c r="Q1790" s="2668"/>
      <c r="R1790" s="2668"/>
      <c r="S1790" s="991"/>
      <c r="T1790" s="1858">
        <f>IFERROR(HLOOKUP(B1790,pp3p1m!$1:$3,3,0),0)</f>
        <v>0</v>
      </c>
    </row>
    <row r="1791" spans="1:20" ht="22.2" hidden="1" customHeight="1">
      <c r="A1791" s="1444">
        <f>COUNTIF($C$12:C1791,"x")</f>
        <v>43</v>
      </c>
      <c r="B1791" s="1454" t="s">
        <v>2499</v>
      </c>
      <c r="C1791" s="1697" t="str">
        <f t="shared" si="313"/>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2" hidden="1" customHeight="1">
      <c r="A1792" s="1444">
        <f>COUNTIF($C$12:C1792,"x")</f>
        <v>43</v>
      </c>
      <c r="B1792" s="1447" t="s">
        <v>1909</v>
      </c>
      <c r="C1792" s="1697" t="str">
        <f t="shared" si="313"/>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21">Q$1791*$D1792</f>
        <v>0</v>
      </c>
      <c r="R1792" s="1689">
        <f t="shared" si="321"/>
        <v>0</v>
      </c>
      <c r="S1792" s="985"/>
      <c r="T1792" s="1858">
        <f>IFERROR(HLOOKUP(B1792,pp3p1m!$1:$3,3,0),0)</f>
        <v>0</v>
      </c>
    </row>
    <row r="1793" spans="1:20" ht="22.2" hidden="1" customHeight="1">
      <c r="A1793" s="1444">
        <f>COUNTIF($C$12:C1793,"x")</f>
        <v>43</v>
      </c>
      <c r="B1793" s="1447" t="s">
        <v>1610</v>
      </c>
      <c r="C1793" s="1697" t="str">
        <f t="shared" si="313"/>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21"/>
        <v>0</v>
      </c>
      <c r="R1793" s="1689">
        <f t="shared" si="321"/>
        <v>0</v>
      </c>
      <c r="S1793" s="985"/>
      <c r="T1793" s="1858">
        <f>IFERROR(HLOOKUP(B1793,pp3p1m!$1:$3,3,0),0)</f>
        <v>0</v>
      </c>
    </row>
    <row r="1794" spans="1:20" ht="22.2" hidden="1" customHeight="1">
      <c r="A1794" s="1444">
        <f>COUNTIF($C$12:C1794,"x")</f>
        <v>43</v>
      </c>
      <c r="B1794" s="1468" t="s">
        <v>2534</v>
      </c>
      <c r="C1794" s="966" t="str">
        <f t="shared" si="313"/>
        <v xml:space="preserve"> </v>
      </c>
      <c r="D1794" s="1424"/>
      <c r="E1794" s="976"/>
      <c r="F1794" s="994" t="s">
        <v>2535</v>
      </c>
      <c r="G1794" s="995" t="s">
        <v>2439</v>
      </c>
      <c r="H1794" s="1687">
        <f>K1794</f>
        <v>0</v>
      </c>
      <c r="I1794" s="1687">
        <f t="shared" ref="I1794:O1794" si="322">SUM(J1794:P1794)</f>
        <v>0</v>
      </c>
      <c r="J1794" s="1687">
        <f t="shared" si="322"/>
        <v>0</v>
      </c>
      <c r="K1794" s="1688">
        <f>IFERROR(HLOOKUP(B1794,pp3p1m!$1:$3,2,0),0)</f>
        <v>0</v>
      </c>
      <c r="L1794" s="1687">
        <f t="shared" si="322"/>
        <v>0</v>
      </c>
      <c r="M1794" s="1687">
        <f t="shared" si="322"/>
        <v>0</v>
      </c>
      <c r="N1794" s="1687">
        <f t="shared" si="322"/>
        <v>0</v>
      </c>
      <c r="O1794" s="1687">
        <f t="shared" si="322"/>
        <v>0</v>
      </c>
      <c r="P1794" s="1687">
        <f>T1794</f>
        <v>0</v>
      </c>
      <c r="Q1794" s="979">
        <f>IF(P1794&gt;H1794,P1794-H1794,0)</f>
        <v>0</v>
      </c>
      <c r="R1794" s="979">
        <f>IF(H1794&gt;P1794,H1794-P1794,0)</f>
        <v>0</v>
      </c>
      <c r="S1794" s="985"/>
      <c r="T1794" s="1858">
        <f>IFERROR(HLOOKUP(B1794,pp3p1m!$1:$3,3,0),0)</f>
        <v>0</v>
      </c>
    </row>
    <row r="1795" spans="1:20" ht="22.2" hidden="1" customHeight="1">
      <c r="A1795" s="1444">
        <f>COUNTIF($C$12:C1795,"x")</f>
        <v>43</v>
      </c>
      <c r="B1795" s="1451" t="s">
        <v>1909</v>
      </c>
      <c r="C1795" s="966" t="str">
        <f t="shared" si="313"/>
        <v xml:space="preserve"> </v>
      </c>
      <c r="D1795" s="1411">
        <v>1</v>
      </c>
      <c r="E1795" s="976"/>
      <c r="F1795" s="988" t="str">
        <f>VLOOKUP($B1795,DG!A:D,DG!$C$2,)</f>
        <v>Uclevis + sứ ống chỉ</v>
      </c>
      <c r="G1795" s="976" t="str">
        <f>VLOOKUP($B1795,DG!A:D,DG!$D$2,)</f>
        <v>bộ</v>
      </c>
      <c r="H1795" s="1689">
        <f>H$1794*$D1795</f>
        <v>0</v>
      </c>
      <c r="I1795" s="1689">
        <f t="shared" ref="I1795:R1796" si="323">I$1794*$D1795</f>
        <v>0</v>
      </c>
      <c r="J1795" s="1689">
        <f t="shared" si="323"/>
        <v>0</v>
      </c>
      <c r="K1795" s="1689">
        <f t="shared" si="323"/>
        <v>0</v>
      </c>
      <c r="L1795" s="1689">
        <f t="shared" si="323"/>
        <v>0</v>
      </c>
      <c r="M1795" s="1689">
        <f t="shared" si="323"/>
        <v>0</v>
      </c>
      <c r="N1795" s="1689">
        <f t="shared" si="323"/>
        <v>0</v>
      </c>
      <c r="O1795" s="1689">
        <f t="shared" si="323"/>
        <v>0</v>
      </c>
      <c r="P1795" s="1689">
        <f t="shared" si="323"/>
        <v>0</v>
      </c>
      <c r="Q1795" s="1689">
        <f t="shared" si="323"/>
        <v>0</v>
      </c>
      <c r="R1795" s="1689">
        <f t="shared" si="323"/>
        <v>0</v>
      </c>
      <c r="S1795" s="985"/>
      <c r="T1795" s="1858">
        <f>IFERROR(HLOOKUP(B1795,pp3p1m!$1:$3,3,0),0)</f>
        <v>0</v>
      </c>
    </row>
    <row r="1796" spans="1:20" ht="22.2" hidden="1" customHeight="1">
      <c r="A1796" s="1444">
        <f>COUNTIF($C$12:C1796,"x")</f>
        <v>43</v>
      </c>
      <c r="B1796" s="1451" t="s">
        <v>4962</v>
      </c>
      <c r="C1796" s="966" t="str">
        <f t="shared" si="313"/>
        <v xml:space="preserve"> </v>
      </c>
      <c r="D1796" s="1411">
        <v>1</v>
      </c>
      <c r="E1796" s="976"/>
      <c r="F1796" s="988" t="str">
        <f>VLOOKUP($B1796,DG!A:D,DG!$C$2,)</f>
        <v>Boulon 16x550+ long đền vuông D18-50x50x3/Zn</v>
      </c>
      <c r="G1796" s="976" t="str">
        <f>VLOOKUP($B1796,DG!A:D,DG!$D$2,)</f>
        <v>bộ</v>
      </c>
      <c r="H1796" s="1689">
        <f>H$1794*$D1796</f>
        <v>0</v>
      </c>
      <c r="I1796" s="1689">
        <f t="shared" si="323"/>
        <v>0</v>
      </c>
      <c r="J1796" s="1689">
        <f t="shared" si="323"/>
        <v>0</v>
      </c>
      <c r="K1796" s="1689">
        <f t="shared" si="323"/>
        <v>0</v>
      </c>
      <c r="L1796" s="1689">
        <f t="shared" si="323"/>
        <v>0</v>
      </c>
      <c r="M1796" s="1689">
        <f t="shared" si="323"/>
        <v>0</v>
      </c>
      <c r="N1796" s="1689">
        <f t="shared" si="323"/>
        <v>0</v>
      </c>
      <c r="O1796" s="1689">
        <f t="shared" si="323"/>
        <v>0</v>
      </c>
      <c r="P1796" s="1689">
        <f t="shared" si="323"/>
        <v>0</v>
      </c>
      <c r="Q1796" s="1689">
        <f t="shared" si="323"/>
        <v>0</v>
      </c>
      <c r="R1796" s="1689">
        <f t="shared" si="323"/>
        <v>0</v>
      </c>
      <c r="S1796" s="985"/>
      <c r="T1796" s="1858">
        <f>IFERROR(HLOOKUP(B1796,pp3p1m!$1:$3,3,0),0)</f>
        <v>0</v>
      </c>
    </row>
    <row r="1797" spans="1:20" ht="22.2" hidden="1" customHeight="1">
      <c r="A1797" s="1444">
        <f>COUNTIF($C$12:C1797,"x")</f>
        <v>43</v>
      </c>
      <c r="B1797" s="1468" t="s">
        <v>2536</v>
      </c>
      <c r="C1797" s="966" t="str">
        <f t="shared" si="313"/>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2" hidden="1" customHeight="1">
      <c r="A1798" s="1444">
        <f>COUNTIF($C$12:C1798,"x")</f>
        <v>43</v>
      </c>
      <c r="B1798" s="1451" t="s">
        <v>1909</v>
      </c>
      <c r="C1798" s="966" t="str">
        <f t="shared" si="313"/>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6"/>
        <v>0</v>
      </c>
      <c r="Q1798" s="985"/>
      <c r="R1798" s="985"/>
      <c r="S1798" s="985"/>
      <c r="T1798" s="1858">
        <f>IFERROR(HLOOKUP(B1798,pp3p1m!$1:$3,3,0),0)</f>
        <v>0</v>
      </c>
    </row>
    <row r="1799" spans="1:20" ht="22.2" hidden="1" customHeight="1">
      <c r="A1799" s="1444">
        <f>COUNTIF($C$12:C1799,"x")</f>
        <v>43</v>
      </c>
      <c r="B1799" s="1451" t="s">
        <v>802</v>
      </c>
      <c r="C1799" s="966" t="str">
        <f t="shared" si="313"/>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6"/>
        <v>0</v>
      </c>
      <c r="Q1799" s="985"/>
      <c r="R1799" s="985"/>
      <c r="S1799" s="985"/>
      <c r="T1799" s="1858">
        <f>IFERROR(HLOOKUP(B1799,pp3p1m!$1:$3,3,0),0)</f>
        <v>0</v>
      </c>
    </row>
    <row r="1800" spans="1:20" ht="22.2" hidden="1" customHeight="1">
      <c r="A1800" s="1444">
        <f>COUNTIF($C$12:C1800,"x")</f>
        <v>43</v>
      </c>
      <c r="B1800" s="1468" t="s">
        <v>1621</v>
      </c>
      <c r="C1800" s="966" t="str">
        <f t="shared" si="313"/>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2" hidden="1" customHeight="1">
      <c r="A1801" s="1444">
        <f>COUNTIF($C$12:C1801,"x")</f>
        <v>43</v>
      </c>
      <c r="B1801" s="1451" t="s">
        <v>1909</v>
      </c>
      <c r="C1801" s="966" t="str">
        <f t="shared" ref="C1801:C1901" si="324">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6"/>
        <v>0</v>
      </c>
      <c r="Q1801" s="985"/>
      <c r="R1801" s="985"/>
      <c r="S1801" s="985"/>
      <c r="T1801" s="1858">
        <f>IFERROR(HLOOKUP(B1801,pp3p1m!$1:$3,3,0),0)</f>
        <v>0</v>
      </c>
    </row>
    <row r="1802" spans="1:20" ht="22.2" hidden="1" customHeight="1">
      <c r="A1802" s="1444">
        <f>COUNTIF($C$12:C1802,"x")</f>
        <v>43</v>
      </c>
      <c r="B1802" s="1451" t="s">
        <v>1610</v>
      </c>
      <c r="C1802" s="966" t="str">
        <f t="shared" si="324"/>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6"/>
        <v>0</v>
      </c>
      <c r="Q1802" s="985"/>
      <c r="R1802" s="985"/>
      <c r="S1802" s="985"/>
      <c r="T1802" s="1858">
        <f>IFERROR(HLOOKUP(B1802,pp3p1m!$1:$3,3,0),0)</f>
        <v>0</v>
      </c>
    </row>
    <row r="1803" spans="1:20" ht="22.2" hidden="1" customHeight="1">
      <c r="A1803" s="1444">
        <f>COUNTIF($C$12:C1803,"x")</f>
        <v>43</v>
      </c>
      <c r="B1803" s="1451" t="s">
        <v>905</v>
      </c>
      <c r="C1803" s="966" t="str">
        <f t="shared" si="324"/>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6"/>
        <v>0</v>
      </c>
      <c r="Q1803" s="985"/>
      <c r="R1803" s="985"/>
      <c r="S1803" s="985"/>
      <c r="T1803" s="1858">
        <f>IFERROR(HLOOKUP(B1803,pp3p1m!$1:$3,3,0),0)</f>
        <v>0</v>
      </c>
    </row>
    <row r="1804" spans="1:20" ht="22.2" hidden="1" customHeight="1">
      <c r="A1804" s="1444">
        <f>COUNTIF($C$12:C1804,"x")</f>
        <v>43</v>
      </c>
      <c r="B1804" s="1454" t="s">
        <v>1622</v>
      </c>
      <c r="C1804" s="1697" t="str">
        <f t="shared" si="324"/>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2" hidden="1" customHeight="1">
      <c r="A1805" s="1444">
        <f>COUNTIF($C$12:C1805,"x")</f>
        <v>43</v>
      </c>
      <c r="B1805" s="1452" t="s">
        <v>904</v>
      </c>
      <c r="C1805" s="1697" t="str">
        <f t="shared" si="324"/>
        <v xml:space="preserve"> </v>
      </c>
      <c r="D1805" s="1411">
        <v>1</v>
      </c>
      <c r="E1805" s="976"/>
      <c r="F1805" s="988" t="str">
        <f>VLOOKUP($B1805,DG!A:D,DG!$C$2,)</f>
        <v>Khóa néo dây cỡ dây 50</v>
      </c>
      <c r="G1805" s="976" t="str">
        <f>VLOOKUP($B1805,DG!A:D,DG!$D$2,)</f>
        <v>cái</v>
      </c>
      <c r="H1805" s="1689">
        <f>H$1804*$D1805</f>
        <v>0</v>
      </c>
      <c r="I1805" s="1689">
        <f t="shared" ref="I1805:R1806" si="325">I$1804*$D1805</f>
        <v>0</v>
      </c>
      <c r="J1805" s="1689">
        <f t="shared" si="325"/>
        <v>0</v>
      </c>
      <c r="K1805" s="1689">
        <f t="shared" si="325"/>
        <v>0</v>
      </c>
      <c r="L1805" s="1689">
        <f t="shared" si="325"/>
        <v>0</v>
      </c>
      <c r="M1805" s="1689">
        <f t="shared" si="325"/>
        <v>0</v>
      </c>
      <c r="N1805" s="1689">
        <f t="shared" si="325"/>
        <v>0</v>
      </c>
      <c r="O1805" s="1689">
        <f t="shared" si="325"/>
        <v>0</v>
      </c>
      <c r="P1805" s="1689">
        <f t="shared" si="325"/>
        <v>0</v>
      </c>
      <c r="Q1805" s="1689">
        <f t="shared" si="325"/>
        <v>0</v>
      </c>
      <c r="R1805" s="1689">
        <f t="shared" si="325"/>
        <v>0</v>
      </c>
      <c r="S1805" s="985"/>
      <c r="T1805" s="1858">
        <f>IFERROR(HLOOKUP(B1805,pp3p1m!$1:$3,3,0),0)</f>
        <v>0</v>
      </c>
    </row>
    <row r="1806" spans="1:20" ht="22.2" hidden="1" customHeight="1">
      <c r="A1806" s="1444">
        <f>COUNTIF($C$12:C1806,"x")</f>
        <v>43</v>
      </c>
      <c r="B1806" s="1447" t="s">
        <v>417</v>
      </c>
      <c r="C1806" s="1697" t="str">
        <f t="shared" si="324"/>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5"/>
        <v>0</v>
      </c>
      <c r="Q1806" s="1689">
        <f t="shared" si="325"/>
        <v>0</v>
      </c>
      <c r="R1806" s="1689">
        <f t="shared" si="325"/>
        <v>0</v>
      </c>
      <c r="S1806" s="985"/>
      <c r="T1806" s="1858">
        <f>IFERROR(HLOOKUP(B1806,pp3p1m!$1:$3,3,0),0)</f>
        <v>0</v>
      </c>
    </row>
    <row r="1807" spans="1:20" ht="22.2" hidden="1" customHeight="1">
      <c r="A1807" s="1444">
        <f>COUNTIF($C$12:C1807,"x")</f>
        <v>43</v>
      </c>
      <c r="B1807" s="1451" t="s">
        <v>905</v>
      </c>
      <c r="C1807" s="966" t="str">
        <f t="shared" si="324"/>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6"/>
        <v>0</v>
      </c>
      <c r="Q1807" s="985"/>
      <c r="R1807" s="985"/>
      <c r="S1807" s="985"/>
      <c r="T1807" s="1858">
        <f>IFERROR(HLOOKUP(B1807,pp3p1m!$1:$3,3,0),0)</f>
        <v>0</v>
      </c>
    </row>
    <row r="1808" spans="1:20" ht="22.2" hidden="1" customHeight="1">
      <c r="A1808" s="1444">
        <f>COUNTIF($C$12:C1808,"x")</f>
        <v>43</v>
      </c>
      <c r="B1808" s="1468" t="s">
        <v>534</v>
      </c>
      <c r="C1808" s="966" t="str">
        <f t="shared" si="324"/>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2" hidden="1" customHeight="1">
      <c r="A1809" s="1444">
        <f>COUNTIF($C$12:C1809,"x")</f>
        <v>43</v>
      </c>
      <c r="B1809" s="1469" t="s">
        <v>1145</v>
      </c>
      <c r="C1809" s="966" t="str">
        <f t="shared" si="324"/>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6"/>
        <v>0</v>
      </c>
      <c r="Q1809" s="985"/>
      <c r="R1809" s="985"/>
      <c r="S1809" s="985"/>
      <c r="T1809" s="1858">
        <f>IFERROR(HLOOKUP(B1809,pp3p1m!$1:$3,3,0),0)</f>
        <v>0</v>
      </c>
    </row>
    <row r="1810" spans="1:20" ht="22.2" hidden="1" customHeight="1">
      <c r="A1810" s="1444">
        <f>COUNTIF($C$12:C1810,"x")</f>
        <v>44</v>
      </c>
      <c r="B1810" s="1655" t="s">
        <v>5069</v>
      </c>
      <c r="C1810" s="966" t="str">
        <f t="shared" si="324"/>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6"/>
        <v>1</v>
      </c>
      <c r="Q1810" s="985"/>
      <c r="R1810" s="985"/>
      <c r="S1810" s="985"/>
      <c r="T1810" s="1858">
        <f>IFERROR(HLOOKUP(B1810,pp3p1m!$1:$3,3,0),0)</f>
        <v>0</v>
      </c>
    </row>
    <row r="1811" spans="1:20" ht="22.2" hidden="1" customHeight="1">
      <c r="A1811" s="1444">
        <f>COUNTIF($C$12:C1811,"x")</f>
        <v>44</v>
      </c>
      <c r="B1811" s="1451" t="s">
        <v>905</v>
      </c>
      <c r="C1811" s="966" t="str">
        <f t="shared" si="324"/>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6"/>
        <v>0</v>
      </c>
      <c r="Q1811" s="985"/>
      <c r="R1811" s="985"/>
      <c r="S1811" s="985"/>
      <c r="T1811" s="1858">
        <f>IFERROR(HLOOKUP(B1811,pp3p1m!$1:$3,3,0),0)</f>
        <v>0</v>
      </c>
    </row>
    <row r="1812" spans="1:20" ht="22.2" hidden="1" customHeight="1">
      <c r="A1812" s="1444">
        <f>COUNTIF($C$12:C1812,"x")</f>
        <v>44</v>
      </c>
      <c r="B1812" s="1468" t="s">
        <v>2160</v>
      </c>
      <c r="C1812" s="966" t="str">
        <f t="shared" si="324"/>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2" hidden="1" customHeight="1">
      <c r="A1813" s="1444">
        <f>COUNTIF($C$12:C1813,"x")</f>
        <v>44</v>
      </c>
      <c r="B1813" s="1469" t="s">
        <v>904</v>
      </c>
      <c r="C1813" s="966" t="str">
        <f t="shared" si="324"/>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6"/>
        <v>0</v>
      </c>
      <c r="Q1813" s="985"/>
      <c r="R1813" s="985"/>
      <c r="S1813" s="985"/>
      <c r="T1813" s="1858">
        <f>IFERROR(HLOOKUP(B1813,pp3p1m!$1:$3,3,0),0)</f>
        <v>0</v>
      </c>
    </row>
    <row r="1814" spans="1:20" ht="22.2" hidden="1" customHeight="1">
      <c r="A1814" s="1444">
        <f>COUNTIF($C$12:C1814,"x")</f>
        <v>44</v>
      </c>
      <c r="B1814" s="1451" t="s">
        <v>1486</v>
      </c>
      <c r="C1814" s="966" t="str">
        <f t="shared" si="324"/>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6"/>
        <v>0</v>
      </c>
      <c r="Q1814" s="985"/>
      <c r="R1814" s="985"/>
      <c r="S1814" s="985"/>
      <c r="T1814" s="1858">
        <f>IFERROR(HLOOKUP(B1814,pp3p1m!$1:$3,3,0),0)</f>
        <v>0</v>
      </c>
    </row>
    <row r="1815" spans="1:20" ht="22.2" hidden="1" customHeight="1">
      <c r="A1815" s="1444">
        <f>COUNTIF($C$12:C1815,"x")</f>
        <v>44</v>
      </c>
      <c r="B1815" s="1451" t="s">
        <v>1579</v>
      </c>
      <c r="C1815" s="966" t="str">
        <f t="shared" si="324"/>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6"/>
        <v>0</v>
      </c>
      <c r="Q1815" s="985"/>
      <c r="R1815" s="985"/>
      <c r="S1815" s="985"/>
      <c r="T1815" s="1858">
        <f>IFERROR(HLOOKUP(B1815,pp3p1m!$1:$3,3,0),0)</f>
        <v>0</v>
      </c>
    </row>
    <row r="1816" spans="1:20" ht="22.2" hidden="1" customHeight="1">
      <c r="A1816" s="1444">
        <f>COUNTIF($C$12:C1816,"x")</f>
        <v>44</v>
      </c>
      <c r="B1816" s="1454" t="s">
        <v>2504</v>
      </c>
      <c r="C1816" s="1697" t="str">
        <f t="shared" si="324"/>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2" hidden="1" customHeight="1">
      <c r="A1817" s="1444">
        <f>COUNTIF($C$12:C1817,"x")</f>
        <v>44</v>
      </c>
      <c r="B1817" s="1447" t="s">
        <v>696</v>
      </c>
      <c r="C1817" s="1697" t="str">
        <f t="shared" si="324"/>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6">L$1816*H1817</f>
        <v>0</v>
      </c>
      <c r="M1817" s="1784">
        <f t="shared" si="326"/>
        <v>0</v>
      </c>
      <c r="N1817" s="1784">
        <f t="shared" si="326"/>
        <v>0</v>
      </c>
      <c r="O1817" s="1784">
        <f t="shared" si="326"/>
        <v>0</v>
      </c>
      <c r="P1817" s="1689">
        <f>P$1816*$D1817</f>
        <v>0</v>
      </c>
      <c r="Q1817" s="1689">
        <f t="shared" ref="Q1817:R1818" si="327">Q$1816*$D1817</f>
        <v>0</v>
      </c>
      <c r="R1817" s="1689">
        <f t="shared" si="327"/>
        <v>0</v>
      </c>
      <c r="S1817" s="985"/>
      <c r="T1817" s="1858">
        <f>IFERROR(HLOOKUP(B1817,pp3p1m!$1:$3,3,0),0)</f>
        <v>0</v>
      </c>
    </row>
    <row r="1818" spans="1:20" ht="22.2" hidden="1" customHeight="1">
      <c r="A1818" s="1444">
        <f>COUNTIF($C$12:C1818,"x")</f>
        <v>44</v>
      </c>
      <c r="B1818" s="1447" t="s">
        <v>1265</v>
      </c>
      <c r="C1818" s="1697" t="str">
        <f t="shared" si="324"/>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6"/>
        <v>0</v>
      </c>
      <c r="M1818" s="1784">
        <f t="shared" si="326"/>
        <v>0</v>
      </c>
      <c r="N1818" s="1784">
        <f t="shared" si="326"/>
        <v>0</v>
      </c>
      <c r="O1818" s="1784">
        <f t="shared" si="326"/>
        <v>0</v>
      </c>
      <c r="P1818" s="1689">
        <f>P$1816*$D1818</f>
        <v>0</v>
      </c>
      <c r="Q1818" s="1689">
        <f t="shared" si="327"/>
        <v>0</v>
      </c>
      <c r="R1818" s="1689">
        <f t="shared" si="327"/>
        <v>0</v>
      </c>
      <c r="S1818" s="985"/>
      <c r="T1818" s="1858">
        <f>IFERROR(HLOOKUP(B1818,pp3p1m!$1:$3,3,0),0)</f>
        <v>0</v>
      </c>
    </row>
    <row r="1819" spans="1:20" ht="22.2" hidden="1" customHeight="1">
      <c r="A1819" s="1444">
        <f>COUNTIF($C$12:C1819,"x")</f>
        <v>44</v>
      </c>
      <c r="B1819" s="1468" t="s">
        <v>2506</v>
      </c>
      <c r="C1819" s="966" t="str">
        <f t="shared" si="324"/>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2" hidden="1" customHeight="1">
      <c r="A1820" s="1444">
        <f>COUNTIF($C$12:C1820,"x")</f>
        <v>44</v>
      </c>
      <c r="B1820" s="1451" t="s">
        <v>696</v>
      </c>
      <c r="C1820" s="966" t="str">
        <f t="shared" si="324"/>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6"/>
        <v>0</v>
      </c>
      <c r="Q1820" s="985"/>
      <c r="R1820" s="985"/>
      <c r="S1820" s="985"/>
      <c r="T1820" s="1858">
        <f>IFERROR(HLOOKUP(B1820,pp3p1m!$1:$3,3,0),0)</f>
        <v>0</v>
      </c>
    </row>
    <row r="1821" spans="1:20" ht="22.2" hidden="1" customHeight="1">
      <c r="A1821" s="1444">
        <f>COUNTIF($C$12:C1821,"x")</f>
        <v>44</v>
      </c>
      <c r="B1821" s="1451" t="s">
        <v>1266</v>
      </c>
      <c r="C1821" s="966" t="str">
        <f t="shared" si="324"/>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6"/>
        <v>0</v>
      </c>
      <c r="Q1821" s="985"/>
      <c r="R1821" s="985"/>
      <c r="S1821" s="985"/>
      <c r="T1821" s="1858">
        <f>IFERROR(HLOOKUP(B1821,pp3p1m!$1:$3,3,0),0)</f>
        <v>0</v>
      </c>
    </row>
    <row r="1822" spans="1:20" ht="22.2" hidden="1" customHeight="1">
      <c r="A1822" s="1444">
        <f>COUNTIF($C$12:C1822,"x")</f>
        <v>44</v>
      </c>
      <c r="B1822" s="1451" t="s">
        <v>1609</v>
      </c>
      <c r="C1822" s="966" t="str">
        <f t="shared" si="324"/>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6"/>
        <v>0</v>
      </c>
      <c r="Q1822" s="985"/>
      <c r="R1822" s="985"/>
      <c r="S1822" s="985"/>
      <c r="T1822" s="1858">
        <f>IFERROR(HLOOKUP(B1822,pp3p1m!$1:$3,3,0),0)</f>
        <v>0</v>
      </c>
    </row>
    <row r="1823" spans="1:20" ht="22.2" hidden="1" customHeight="1">
      <c r="A1823" s="1444">
        <f>COUNTIF($C$12:C1823,"x")</f>
        <v>44</v>
      </c>
      <c r="B1823" s="1470" t="s">
        <v>2508</v>
      </c>
      <c r="C1823" s="966" t="str">
        <f t="shared" si="324"/>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2" hidden="1" customHeight="1">
      <c r="A1824" s="1444">
        <f>COUNTIF($C$12:C1824,"x")</f>
        <v>44</v>
      </c>
      <c r="B1824" s="1451" t="s">
        <v>696</v>
      </c>
      <c r="C1824" s="966" t="str">
        <f t="shared" si="324"/>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6"/>
        <v>0</v>
      </c>
      <c r="Q1824" s="985"/>
      <c r="R1824" s="985"/>
      <c r="S1824" s="985"/>
      <c r="T1824" s="1858">
        <f>IFERROR(HLOOKUP(B1824,pp3p1m!$1:$3,3,0),0)</f>
        <v>0</v>
      </c>
    </row>
    <row r="1825" spans="1:20" ht="22.2" hidden="1" customHeight="1">
      <c r="A1825" s="1444">
        <f>COUNTIF($C$12:C1825,"x")</f>
        <v>44</v>
      </c>
      <c r="B1825" s="1451" t="s">
        <v>590</v>
      </c>
      <c r="C1825" s="966" t="str">
        <f t="shared" si="324"/>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6"/>
        <v>0</v>
      </c>
      <c r="Q1825" s="985"/>
      <c r="R1825" s="985"/>
      <c r="S1825" s="985"/>
      <c r="T1825" s="1858">
        <f>IFERROR(HLOOKUP(B1825,pp3p1m!$1:$3,3,0),0)</f>
        <v>0</v>
      </c>
    </row>
    <row r="1826" spans="1:20" ht="22.2" hidden="1" customHeight="1">
      <c r="A1826" s="1444">
        <f>COUNTIF($C$12:C1826,"x")</f>
        <v>44</v>
      </c>
      <c r="B1826" s="1451" t="s">
        <v>1609</v>
      </c>
      <c r="C1826" s="966" t="str">
        <f t="shared" si="324"/>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6"/>
        <v>0</v>
      </c>
      <c r="Q1826" s="985"/>
      <c r="R1826" s="985"/>
      <c r="S1826" s="985"/>
      <c r="T1826" s="1858">
        <f>IFERROR(HLOOKUP(B1826,pp3p1m!$1:$3,3,0),0)</f>
        <v>0</v>
      </c>
    </row>
    <row r="1827" spans="1:20" ht="22.2" hidden="1" customHeight="1">
      <c r="A1827" s="1444">
        <f>COUNTIF($C$12:C1827,"x")</f>
        <v>44</v>
      </c>
      <c r="B1827" s="1468" t="s">
        <v>2510</v>
      </c>
      <c r="C1827" s="966" t="str">
        <f t="shared" si="324"/>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2" hidden="1" customHeight="1">
      <c r="A1828" s="1444">
        <f>COUNTIF($C$12:C1828,"x")</f>
        <v>44</v>
      </c>
      <c r="B1828" s="1451" t="s">
        <v>1267</v>
      </c>
      <c r="C1828" s="966" t="str">
        <f t="shared" si="324"/>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6"/>
        <v>0</v>
      </c>
      <c r="Q1828" s="985"/>
      <c r="R1828" s="985"/>
      <c r="S1828" s="985"/>
      <c r="T1828" s="1858">
        <f>IFERROR(HLOOKUP(B1828,pp3p1m!$1:$3,3,0),0)</f>
        <v>0</v>
      </c>
    </row>
    <row r="1829" spans="1:20" ht="22.2" hidden="1" customHeight="1">
      <c r="A1829" s="1444">
        <f>COUNTIF($C$12:C1829,"x")</f>
        <v>44</v>
      </c>
      <c r="B1829" s="1451" t="s">
        <v>1486</v>
      </c>
      <c r="C1829" s="966" t="str">
        <f t="shared" si="324"/>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6"/>
        <v>0</v>
      </c>
      <c r="Q1829" s="985"/>
      <c r="R1829" s="985"/>
      <c r="S1829" s="985"/>
      <c r="T1829" s="1858">
        <f>IFERROR(HLOOKUP(B1829,pp3p1m!$1:$3,3,0),0)</f>
        <v>0</v>
      </c>
    </row>
    <row r="1830" spans="1:20" ht="22.2" hidden="1" customHeight="1">
      <c r="A1830" s="1444">
        <f>COUNTIF($C$12:C1830,"x")</f>
        <v>44</v>
      </c>
      <c r="B1830" s="1451" t="s">
        <v>1569</v>
      </c>
      <c r="C1830" s="966" t="str">
        <f t="shared" si="324"/>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6"/>
        <v>0</v>
      </c>
      <c r="Q1830" s="985"/>
      <c r="R1830" s="985"/>
      <c r="S1830" s="985"/>
      <c r="T1830" s="1858">
        <f>IFERROR(HLOOKUP(B1830,pp3p1m!$1:$3,3,0),0)</f>
        <v>0</v>
      </c>
    </row>
    <row r="1831" spans="1:20" ht="22.2" hidden="1" customHeight="1">
      <c r="A1831" s="1444">
        <f>COUNTIF($C$12:C1831,"x")</f>
        <v>44</v>
      </c>
      <c r="B1831" s="1451" t="s">
        <v>1484</v>
      </c>
      <c r="C1831" s="966" t="str">
        <f t="shared" si="324"/>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6"/>
        <v>0</v>
      </c>
      <c r="Q1831" s="985"/>
      <c r="R1831" s="985"/>
      <c r="S1831" s="985"/>
      <c r="T1831" s="1858">
        <f>IFERROR(HLOOKUP(B1831,pp3p1m!$1:$3,3,0),0)</f>
        <v>0</v>
      </c>
    </row>
    <row r="1832" spans="1:20" ht="22.2" hidden="1" customHeight="1">
      <c r="A1832" s="1444">
        <f>COUNTIF($C$12:C1832,"x")</f>
        <v>44</v>
      </c>
      <c r="B1832" s="1451" t="s">
        <v>1268</v>
      </c>
      <c r="C1832" s="966" t="str">
        <f t="shared" si="324"/>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6"/>
        <v>0</v>
      </c>
      <c r="Q1832" s="985"/>
      <c r="R1832" s="985"/>
      <c r="S1832" s="985"/>
      <c r="T1832" s="1858">
        <f>IFERROR(HLOOKUP(B1832,pp3p1m!$1:$3,3,0),0)</f>
        <v>0</v>
      </c>
    </row>
    <row r="1833" spans="1:20" ht="22.2" hidden="1" customHeight="1">
      <c r="A1833" s="1444">
        <f>COUNTIF($C$12:C1833,"x")</f>
        <v>44</v>
      </c>
      <c r="B1833" s="1468" t="s">
        <v>2513</v>
      </c>
      <c r="C1833" s="966" t="str">
        <f t="shared" si="324"/>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2" hidden="1" customHeight="1">
      <c r="A1834" s="1444">
        <f>COUNTIF($C$12:C1834,"x")</f>
        <v>44</v>
      </c>
      <c r="B1834" s="1451" t="s">
        <v>112</v>
      </c>
      <c r="C1834" s="966" t="str">
        <f t="shared" si="324"/>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6"/>
        <v>0</v>
      </c>
      <c r="Q1834" s="985"/>
      <c r="R1834" s="985"/>
      <c r="S1834" s="985"/>
      <c r="T1834" s="1858">
        <f>IFERROR(HLOOKUP(B1834,pp3p1m!$1:$3,3,0),0)</f>
        <v>0</v>
      </c>
    </row>
    <row r="1835" spans="1:20" ht="22.2" hidden="1" customHeight="1">
      <c r="A1835" s="1444">
        <f>COUNTIF($C$12:C1835,"x")</f>
        <v>44</v>
      </c>
      <c r="B1835" s="1451" t="s">
        <v>1486</v>
      </c>
      <c r="C1835" s="966" t="str">
        <f t="shared" si="324"/>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6"/>
        <v>0</v>
      </c>
      <c r="Q1835" s="985"/>
      <c r="R1835" s="985"/>
      <c r="S1835" s="985"/>
      <c r="T1835" s="1858">
        <f>IFERROR(HLOOKUP(B1835,pp3p1m!$1:$3,3,0),0)</f>
        <v>0</v>
      </c>
    </row>
    <row r="1836" spans="1:20" ht="22.2" hidden="1" customHeight="1">
      <c r="A1836" s="1444">
        <f>COUNTIF($C$12:C1836,"x")</f>
        <v>44</v>
      </c>
      <c r="B1836" s="1454" t="s">
        <v>2515</v>
      </c>
      <c r="C1836" s="1697" t="str">
        <f t="shared" si="324"/>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2" hidden="1" customHeight="1">
      <c r="A1837" s="1444">
        <f>COUNTIF($C$12:C1837,"x")</f>
        <v>44</v>
      </c>
      <c r="B1837" s="1447" t="s">
        <v>1506</v>
      </c>
      <c r="C1837" s="1697" t="str">
        <f t="shared" si="324"/>
        <v xml:space="preserve"> </v>
      </c>
      <c r="D1837" s="1411">
        <v>1</v>
      </c>
      <c r="E1837" s="976"/>
      <c r="F1837" s="988" t="str">
        <f>VLOOKUP($B1837,DG!A:D,DG!$C$2,)</f>
        <v>Sứ treo polymer</v>
      </c>
      <c r="G1837" s="976" t="str">
        <f>VLOOKUP($B1837,DG!A:D,DG!$D$2,)</f>
        <v>chuỗi</v>
      </c>
      <c r="H1837" s="1689">
        <f>H$1836*$D1837</f>
        <v>0</v>
      </c>
      <c r="I1837" s="1689">
        <f t="shared" ref="I1837:R1841" si="328">I$1836*$D1837</f>
        <v>0</v>
      </c>
      <c r="J1837" s="1689">
        <f t="shared" si="328"/>
        <v>0</v>
      </c>
      <c r="K1837" s="1689">
        <f t="shared" si="328"/>
        <v>0</v>
      </c>
      <c r="L1837" s="1689">
        <f t="shared" si="328"/>
        <v>0</v>
      </c>
      <c r="M1837" s="1689">
        <f t="shared" si="328"/>
        <v>0</v>
      </c>
      <c r="N1837" s="1689">
        <f t="shared" si="328"/>
        <v>0</v>
      </c>
      <c r="O1837" s="1689">
        <f t="shared" si="328"/>
        <v>0</v>
      </c>
      <c r="P1837" s="1689">
        <f t="shared" si="328"/>
        <v>0</v>
      </c>
      <c r="Q1837" s="1689">
        <f t="shared" si="328"/>
        <v>0</v>
      </c>
      <c r="R1837" s="1689">
        <f t="shared" si="328"/>
        <v>0</v>
      </c>
      <c r="S1837" s="985"/>
      <c r="T1837" s="1858">
        <f>IFERROR(HLOOKUP(B1837,pp3p1m!$1:$3,3,0),0)</f>
        <v>0</v>
      </c>
    </row>
    <row r="1838" spans="1:20" ht="22.2" hidden="1" customHeight="1">
      <c r="A1838" s="1444">
        <f>COUNTIF($C$12:C1838,"x")</f>
        <v>44</v>
      </c>
      <c r="B1838" s="1447" t="s">
        <v>1486</v>
      </c>
      <c r="C1838" s="1697" t="str">
        <f t="shared" si="324"/>
        <v xml:space="preserve"> </v>
      </c>
      <c r="D1838" s="1411">
        <v>2</v>
      </c>
      <c r="E1838" s="976"/>
      <c r="F1838" s="988" t="str">
        <f>VLOOKUP($B1838,DG!A:D,DG!$C$2,)&amp;""</f>
        <v xml:space="preserve">Móc treo chữ U </v>
      </c>
      <c r="G1838" s="976" t="str">
        <f>VLOOKUP($B1838,DG!A:D,DG!$D$2,)</f>
        <v>cái</v>
      </c>
      <c r="H1838" s="1689">
        <f>H$1836*$D1838</f>
        <v>0</v>
      </c>
      <c r="I1838" s="1689">
        <f t="shared" si="328"/>
        <v>0</v>
      </c>
      <c r="J1838" s="1689">
        <f t="shared" si="328"/>
        <v>0</v>
      </c>
      <c r="K1838" s="1689">
        <f t="shared" si="328"/>
        <v>0</v>
      </c>
      <c r="L1838" s="1689">
        <f t="shared" si="328"/>
        <v>0</v>
      </c>
      <c r="M1838" s="1689">
        <f t="shared" si="328"/>
        <v>0</v>
      </c>
      <c r="N1838" s="1689">
        <f t="shared" si="328"/>
        <v>0</v>
      </c>
      <c r="O1838" s="1689">
        <f t="shared" si="328"/>
        <v>0</v>
      </c>
      <c r="P1838" s="1689">
        <f t="shared" si="328"/>
        <v>0</v>
      </c>
      <c r="Q1838" s="1689">
        <f t="shared" si="328"/>
        <v>0</v>
      </c>
      <c r="R1838" s="1689">
        <f t="shared" si="328"/>
        <v>0</v>
      </c>
      <c r="S1838" s="985"/>
      <c r="T1838" s="1858">
        <f>IFERROR(HLOOKUP(B1838,pp3p1m!$1:$3,3,0),0)</f>
        <v>0</v>
      </c>
    </row>
    <row r="1839" spans="1:20" ht="22.2" hidden="1" customHeight="1">
      <c r="A1839" s="1444">
        <f>COUNTIF($C$12:C1839,"x")</f>
        <v>44</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8"/>
        <v>0</v>
      </c>
      <c r="L1839" s="1689"/>
      <c r="M1839" s="1689"/>
      <c r="N1839" s="1689"/>
      <c r="O1839" s="1691"/>
      <c r="P1839" s="1689">
        <f>H1839+Q1839-R1839</f>
        <v>0</v>
      </c>
      <c r="Q1839" s="985"/>
      <c r="R1839" s="985"/>
      <c r="S1839" s="985"/>
      <c r="T1839" s="1858">
        <f>IFERROR(HLOOKUP(B1839,pp3p1m!$1:$3,3,0),0)</f>
        <v>0</v>
      </c>
    </row>
    <row r="1840" spans="1:20" ht="22.2" hidden="1" customHeight="1">
      <c r="A1840" s="1444">
        <f>COUNTIF($C$12:C1840,"x")</f>
        <v>44</v>
      </c>
      <c r="B1840" s="1447" t="s">
        <v>4713</v>
      </c>
      <c r="C1840" s="1697" t="str">
        <f t="shared" si="324"/>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2" hidden="1" customHeight="1">
      <c r="A1841" s="1444">
        <f>COUNTIF($C$12:C1841,"x")</f>
        <v>44</v>
      </c>
      <c r="B1841" s="1451" t="s">
        <v>5213</v>
      </c>
      <c r="C1841" s="966" t="str">
        <f t="shared" si="324"/>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9">H1841+Q1841-R1841</f>
        <v>0</v>
      </c>
      <c r="Q1841" s="1689">
        <f t="shared" si="328"/>
        <v>0</v>
      </c>
      <c r="R1841" s="985"/>
      <c r="S1841" s="985"/>
      <c r="T1841" s="1858">
        <f>IFERROR(HLOOKUP(B1841,pp3p1m!$1:$3,3,0),0)</f>
        <v>0</v>
      </c>
    </row>
    <row r="1842" spans="1:20" ht="22.2" hidden="1" customHeight="1">
      <c r="A1842" s="1444">
        <f>COUNTIF($C$12:C1842,"x")</f>
        <v>44</v>
      </c>
      <c r="B1842" s="1465" t="s">
        <v>1795</v>
      </c>
      <c r="C1842" s="966" t="str">
        <f t="shared" si="324"/>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9"/>
        <v>0</v>
      </c>
      <c r="Q1842" s="985"/>
      <c r="R1842" s="985"/>
      <c r="S1842" s="985"/>
      <c r="T1842" s="1858">
        <f>IFERROR(HLOOKUP(B1842,pp3p1m!$1:$3,3,0),0)</f>
        <v>0</v>
      </c>
    </row>
    <row r="1843" spans="1:20" ht="22.2" hidden="1" customHeight="1">
      <c r="A1843" s="1444">
        <f>COUNTIF($C$12:C1843,"x")</f>
        <v>44</v>
      </c>
      <c r="B1843" s="1454" t="s">
        <v>6520</v>
      </c>
      <c r="C1843" s="1697" t="str">
        <f t="shared" ref="C1843:C1845" si="330">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2" hidden="1" customHeight="1">
      <c r="A1844" s="1444">
        <f>COUNTIF($C$12:C1844,"x")</f>
        <v>44</v>
      </c>
      <c r="B1844" s="1447" t="s">
        <v>1506</v>
      </c>
      <c r="C1844" s="1697" t="str">
        <f t="shared" si="330"/>
        <v xml:space="preserve"> </v>
      </c>
      <c r="D1844" s="1411">
        <v>2</v>
      </c>
      <c r="E1844" s="976"/>
      <c r="F1844" s="988" t="str">
        <f>VLOOKUP($B1844,DG!A:D,DG!$C$2,)</f>
        <v>Sứ treo polymer</v>
      </c>
      <c r="G1844" s="976" t="str">
        <f>VLOOKUP($B1844,DG!A:D,DG!$D$2,)</f>
        <v>chuỗi</v>
      </c>
      <c r="H1844" s="1689">
        <f>H$1843*$D1844</f>
        <v>0</v>
      </c>
      <c r="I1844" s="1689">
        <f t="shared" ref="I1844:R1848" si="331">I$1843*$D1844</f>
        <v>0</v>
      </c>
      <c r="J1844" s="1689">
        <f t="shared" si="331"/>
        <v>0</v>
      </c>
      <c r="K1844" s="1689">
        <f t="shared" si="331"/>
        <v>0</v>
      </c>
      <c r="L1844" s="1689">
        <f t="shared" si="331"/>
        <v>0</v>
      </c>
      <c r="M1844" s="1689">
        <f t="shared" si="331"/>
        <v>0</v>
      </c>
      <c r="N1844" s="1689">
        <f t="shared" si="331"/>
        <v>0</v>
      </c>
      <c r="O1844" s="1689">
        <f t="shared" si="331"/>
        <v>0</v>
      </c>
      <c r="P1844" s="1689">
        <f t="shared" si="331"/>
        <v>0</v>
      </c>
      <c r="Q1844" s="1689">
        <f>Q$1843*$D1844</f>
        <v>0</v>
      </c>
      <c r="R1844" s="1689">
        <f t="shared" si="331"/>
        <v>0</v>
      </c>
      <c r="S1844" s="985"/>
      <c r="T1844" s="1858">
        <f>IFERROR(HLOOKUP(B1844,pp3p1m!$1:$3,3,0),0)</f>
        <v>0</v>
      </c>
    </row>
    <row r="1845" spans="1:20" ht="22.2" hidden="1" customHeight="1">
      <c r="A1845" s="1444">
        <f>COUNTIF($C$12:C1845,"x")</f>
        <v>44</v>
      </c>
      <c r="B1845" s="1447" t="s">
        <v>1486</v>
      </c>
      <c r="C1845" s="1697" t="str">
        <f t="shared" si="330"/>
        <v xml:space="preserve"> </v>
      </c>
      <c r="D1845" s="1411">
        <v>4</v>
      </c>
      <c r="E1845" s="976"/>
      <c r="F1845" s="988" t="str">
        <f>VLOOKUP($B1845,DG!A:D,DG!$C$2,)&amp;""</f>
        <v xml:space="preserve">Móc treo chữ U </v>
      </c>
      <c r="G1845" s="976" t="str">
        <f>VLOOKUP($B1845,DG!A:D,DG!$D$2,)</f>
        <v>cái</v>
      </c>
      <c r="H1845" s="1689">
        <f t="shared" ref="H1845:R1849" si="332">H$1843*$D1845</f>
        <v>0</v>
      </c>
      <c r="I1845" s="1689">
        <f t="shared" si="332"/>
        <v>0</v>
      </c>
      <c r="J1845" s="1689">
        <f t="shared" si="332"/>
        <v>0</v>
      </c>
      <c r="K1845" s="1689">
        <f t="shared" si="332"/>
        <v>0</v>
      </c>
      <c r="L1845" s="1689">
        <f t="shared" si="332"/>
        <v>0</v>
      </c>
      <c r="M1845" s="1689">
        <f t="shared" si="332"/>
        <v>0</v>
      </c>
      <c r="N1845" s="1689">
        <f t="shared" si="332"/>
        <v>0</v>
      </c>
      <c r="O1845" s="1689">
        <f t="shared" si="332"/>
        <v>0</v>
      </c>
      <c r="P1845" s="1689">
        <f t="shared" si="332"/>
        <v>0</v>
      </c>
      <c r="Q1845" s="1689">
        <f t="shared" si="332"/>
        <v>0</v>
      </c>
      <c r="R1845" s="1689">
        <f t="shared" si="332"/>
        <v>0</v>
      </c>
      <c r="S1845" s="985"/>
      <c r="T1845" s="1858">
        <f>IFERROR(HLOOKUP(B1845,pp3p1m!$1:$3,3,0),0)</f>
        <v>0</v>
      </c>
    </row>
    <row r="1846" spans="1:20" ht="22.2" hidden="1" customHeight="1">
      <c r="A1846" s="1444">
        <f>COUNTIF($C$12:C1846,"x")</f>
        <v>44</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32"/>
        <v>0</v>
      </c>
      <c r="I1846" s="1689">
        <f t="shared" si="331"/>
        <v>0</v>
      </c>
      <c r="J1846" s="1689">
        <f t="shared" si="331"/>
        <v>0</v>
      </c>
      <c r="K1846" s="1689">
        <f t="shared" si="331"/>
        <v>0</v>
      </c>
      <c r="L1846" s="1689">
        <f t="shared" si="331"/>
        <v>0</v>
      </c>
      <c r="M1846" s="1689">
        <f t="shared" si="331"/>
        <v>0</v>
      </c>
      <c r="N1846" s="1689">
        <f t="shared" si="331"/>
        <v>0</v>
      </c>
      <c r="O1846" s="1689">
        <f t="shared" si="331"/>
        <v>0</v>
      </c>
      <c r="P1846" s="1689">
        <f t="shared" si="331"/>
        <v>0</v>
      </c>
      <c r="Q1846" s="1689">
        <f t="shared" si="332"/>
        <v>0</v>
      </c>
      <c r="R1846" s="1689">
        <f t="shared" si="331"/>
        <v>0</v>
      </c>
      <c r="S1846" s="985"/>
      <c r="T1846" s="1858">
        <f>IFERROR(HLOOKUP(B1846,pp3p1m!$1:$3,3,0),0)</f>
        <v>0</v>
      </c>
    </row>
    <row r="1847" spans="1:20" ht="22.2" hidden="1" customHeight="1">
      <c r="A1847" s="1444">
        <f>COUNTIF($C$12:C1847,"x")</f>
        <v>44</v>
      </c>
      <c r="B1847" s="1447" t="s">
        <v>4713</v>
      </c>
      <c r="C1847" s="1697" t="str">
        <f t="shared" ref="C1847:C1849" si="333">IF(OR(P1847&lt;&gt;0,H1847&lt;&gt;0),"x"," ")</f>
        <v xml:space="preserve"> </v>
      </c>
      <c r="D1847" s="1417">
        <v>2</v>
      </c>
      <c r="E1847" s="976"/>
      <c r="F1847" s="988" t="str">
        <f>VLOOKUP($B1847,DG!A:D,DG!$C$2,)</f>
        <v>Khánh lắp chuỗi sứ polymer kép</v>
      </c>
      <c r="G1847" s="976" t="str">
        <f>VLOOKUP($B1847,DG!A:D,DG!$D$2,)</f>
        <v>cái</v>
      </c>
      <c r="H1847" s="1689">
        <f t="shared" si="332"/>
        <v>0</v>
      </c>
      <c r="I1847" s="1689">
        <f t="shared" si="332"/>
        <v>0</v>
      </c>
      <c r="J1847" s="1689">
        <f t="shared" si="332"/>
        <v>0</v>
      </c>
      <c r="K1847" s="1689">
        <f t="shared" si="332"/>
        <v>0</v>
      </c>
      <c r="L1847" s="1689">
        <f t="shared" si="332"/>
        <v>0</v>
      </c>
      <c r="M1847" s="1689">
        <f t="shared" si="332"/>
        <v>0</v>
      </c>
      <c r="N1847" s="1689">
        <f t="shared" si="332"/>
        <v>0</v>
      </c>
      <c r="O1847" s="1689">
        <f t="shared" si="332"/>
        <v>0</v>
      </c>
      <c r="P1847" s="1689">
        <f t="shared" si="332"/>
        <v>0</v>
      </c>
      <c r="Q1847" s="1689">
        <f t="shared" si="332"/>
        <v>0</v>
      </c>
      <c r="R1847" s="1689">
        <f t="shared" si="332"/>
        <v>0</v>
      </c>
      <c r="S1847" s="985"/>
      <c r="T1847" s="1858">
        <f>IFERROR(HLOOKUP(B1847,pp3p1m!$1:$3,3,0),0)</f>
        <v>0</v>
      </c>
    </row>
    <row r="1848" spans="1:20" ht="22.2" hidden="1" customHeight="1">
      <c r="A1848" s="1444">
        <f>COUNTIF($C$12:C1848,"x")</f>
        <v>44</v>
      </c>
      <c r="B1848" s="1451" t="s">
        <v>5213</v>
      </c>
      <c r="C1848" s="966" t="str">
        <f t="shared" si="333"/>
        <v xml:space="preserve"> </v>
      </c>
      <c r="D1848" s="1411">
        <v>1</v>
      </c>
      <c r="E1848" s="976"/>
      <c r="F1848" s="988" t="str">
        <f>VLOOKUP($B1848,DG!A:D,DG!$C$2,)</f>
        <v>Giáp níu dừng dây bọc (70-95mm2)</v>
      </c>
      <c r="G1848" s="976" t="str">
        <f>VLOOKUP($B1848,DG!A:D,DG!$D$2,)</f>
        <v>cái</v>
      </c>
      <c r="H1848" s="1689">
        <f t="shared" si="332"/>
        <v>0</v>
      </c>
      <c r="I1848" s="1689">
        <f t="shared" si="331"/>
        <v>0</v>
      </c>
      <c r="J1848" s="1689">
        <f t="shared" si="331"/>
        <v>0</v>
      </c>
      <c r="K1848" s="1689">
        <f t="shared" si="331"/>
        <v>0</v>
      </c>
      <c r="L1848" s="1689">
        <f t="shared" si="331"/>
        <v>0</v>
      </c>
      <c r="M1848" s="1689">
        <f t="shared" si="331"/>
        <v>0</v>
      </c>
      <c r="N1848" s="1689">
        <f t="shared" si="331"/>
        <v>0</v>
      </c>
      <c r="O1848" s="1689">
        <f t="shared" si="331"/>
        <v>0</v>
      </c>
      <c r="P1848" s="1689">
        <f t="shared" si="331"/>
        <v>0</v>
      </c>
      <c r="Q1848" s="1689">
        <f t="shared" si="332"/>
        <v>0</v>
      </c>
      <c r="R1848" s="1689">
        <f t="shared" si="331"/>
        <v>0</v>
      </c>
      <c r="S1848" s="985"/>
      <c r="T1848" s="1858">
        <f>IFERROR(HLOOKUP(B1848,pp3p1m!$1:$3,3,0),0)</f>
        <v>0</v>
      </c>
    </row>
    <row r="1849" spans="1:20" ht="22.2" hidden="1" customHeight="1">
      <c r="A1849" s="1444">
        <f>COUNTIF($C$12:C1849,"x")</f>
        <v>44</v>
      </c>
      <c r="B1849" s="1465" t="s">
        <v>1795</v>
      </c>
      <c r="C1849" s="966" t="str">
        <f t="shared" si="333"/>
        <v xml:space="preserve"> </v>
      </c>
      <c r="D1849" s="1411"/>
      <c r="E1849" s="976"/>
      <c r="F1849" s="988" t="str">
        <f>VLOOKUP($B1849,DG!A:D,DG!$C$2,)</f>
        <v>Kẹp 2 rãnh cỡ dây 240 mm2</v>
      </c>
      <c r="G1849" s="976" t="str">
        <f>VLOOKUP($B1849,DG!A:D,DG!$D$2,)</f>
        <v>cái</v>
      </c>
      <c r="H1849" s="1689">
        <f t="shared" si="332"/>
        <v>0</v>
      </c>
      <c r="I1849" s="1689">
        <f t="shared" si="332"/>
        <v>0</v>
      </c>
      <c r="J1849" s="1689">
        <f t="shared" si="332"/>
        <v>0</v>
      </c>
      <c r="K1849" s="1689">
        <f t="shared" si="332"/>
        <v>0</v>
      </c>
      <c r="L1849" s="1689">
        <f t="shared" si="332"/>
        <v>0</v>
      </c>
      <c r="M1849" s="1689">
        <f t="shared" si="332"/>
        <v>0</v>
      </c>
      <c r="N1849" s="1689">
        <f t="shared" si="332"/>
        <v>0</v>
      </c>
      <c r="O1849" s="1689">
        <f t="shared" si="332"/>
        <v>0</v>
      </c>
      <c r="P1849" s="1689">
        <f t="shared" si="332"/>
        <v>0</v>
      </c>
      <c r="Q1849" s="1689">
        <f t="shared" si="332"/>
        <v>0</v>
      </c>
      <c r="R1849" s="1689">
        <f t="shared" si="332"/>
        <v>0</v>
      </c>
      <c r="S1849" s="985"/>
      <c r="T1849" s="1858">
        <f>IFERROR(HLOOKUP(B1849,pp3p1m!$1:$3,3,0),0)</f>
        <v>0</v>
      </c>
    </row>
    <row r="1850" spans="1:20" ht="22.2" hidden="1" customHeight="1">
      <c r="A1850" s="1444">
        <f>COUNTIF($C$12:C1850,"x")</f>
        <v>44</v>
      </c>
      <c r="B1850" s="1468" t="s">
        <v>2541</v>
      </c>
      <c r="C1850" s="966" t="str">
        <f t="shared" si="324"/>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2" hidden="1" customHeight="1">
      <c r="A1851" s="1444">
        <f>COUNTIF($C$12:C1851,"x")</f>
        <v>44</v>
      </c>
      <c r="B1851" s="1451" t="s">
        <v>1506</v>
      </c>
      <c r="C1851" s="966" t="str">
        <f t="shared" si="324"/>
        <v xml:space="preserve"> </v>
      </c>
      <c r="D1851" s="1411">
        <f>D1850</f>
        <v>0</v>
      </c>
      <c r="E1851" s="976"/>
      <c r="F1851" s="988" t="str">
        <f>VLOOKUP($B1851,DG!A:D,DG!$C$2,)&amp;" "</f>
        <v xml:space="preserve">Sứ treo polymer </v>
      </c>
      <c r="G1851" s="976" t="str">
        <f>VLOOKUP($B1851,DG!A:D,DG!$D$2,)</f>
        <v>chuỗi</v>
      </c>
      <c r="H1851" s="1689">
        <f t="shared" ref="H1851:H1856" si="334">$D1851</f>
        <v>0</v>
      </c>
      <c r="I1851" s="1689"/>
      <c r="J1851" s="1689"/>
      <c r="K1851" s="1689">
        <f t="shared" ref="K1851:K1856" si="335">D1851</f>
        <v>0</v>
      </c>
      <c r="L1851" s="1689"/>
      <c r="M1851" s="1689"/>
      <c r="N1851" s="1689"/>
      <c r="O1851" s="1689"/>
      <c r="P1851" s="1689">
        <f t="shared" si="329"/>
        <v>0</v>
      </c>
      <c r="Q1851" s="985"/>
      <c r="R1851" s="985"/>
      <c r="S1851" s="985"/>
      <c r="T1851" s="1858">
        <f>IFERROR(HLOOKUP(B1851,pp3p1m!$1:$3,3,0),0)</f>
        <v>0</v>
      </c>
    </row>
    <row r="1852" spans="1:20" ht="22.2" hidden="1" customHeight="1">
      <c r="A1852" s="1444">
        <f>COUNTIF($C$12:C1852,"x")</f>
        <v>44</v>
      </c>
      <c r="B1852" s="1451" t="s">
        <v>1486</v>
      </c>
      <c r="C1852" s="966" t="str">
        <f t="shared" si="324"/>
        <v xml:space="preserve"> </v>
      </c>
      <c r="D1852" s="1411">
        <f>D1850*2</f>
        <v>0</v>
      </c>
      <c r="E1852" s="976"/>
      <c r="F1852" s="988" t="str">
        <f>VLOOKUP($B1852,DG!A:D,DG!$C$2,)&amp;""</f>
        <v xml:space="preserve">Móc treo chữ U </v>
      </c>
      <c r="G1852" s="976" t="str">
        <f>VLOOKUP($B1852,DG!A:D,DG!$D$2,)</f>
        <v>cái</v>
      </c>
      <c r="H1852" s="1689">
        <f t="shared" si="334"/>
        <v>0</v>
      </c>
      <c r="I1852" s="1689"/>
      <c r="J1852" s="1689"/>
      <c r="K1852" s="1689">
        <f t="shared" si="335"/>
        <v>0</v>
      </c>
      <c r="L1852" s="1689"/>
      <c r="M1852" s="1689"/>
      <c r="N1852" s="1689"/>
      <c r="O1852" s="1689"/>
      <c r="P1852" s="1689">
        <f t="shared" si="329"/>
        <v>0</v>
      </c>
      <c r="Q1852" s="985"/>
      <c r="R1852" s="985"/>
      <c r="S1852" s="985"/>
      <c r="T1852" s="1858">
        <f>IFERROR(HLOOKUP(B1852,pp3p1m!$1:$3,3,0),0)</f>
        <v>0</v>
      </c>
    </row>
    <row r="1853" spans="1:20" ht="22.2" hidden="1" customHeight="1">
      <c r="A1853" s="1444">
        <f>COUNTIF($C$12:C1853,"x")</f>
        <v>44</v>
      </c>
      <c r="B1853" s="1451" t="s">
        <v>1742</v>
      </c>
      <c r="C1853" s="966" t="str">
        <f t="shared" si="324"/>
        <v xml:space="preserve"> </v>
      </c>
      <c r="D1853" s="1411">
        <f>D1850</f>
        <v>0</v>
      </c>
      <c r="E1853" s="976"/>
      <c r="F1853" s="988" t="str">
        <f>VLOOKUP($B1853,DG!A:D,DG!$C$2,)</f>
        <v>Khóa néo dây cỡ dây 185</v>
      </c>
      <c r="G1853" s="976" t="str">
        <f>VLOOKUP($B1853,DG!A:D,DG!$D$2,)</f>
        <v>cái</v>
      </c>
      <c r="H1853" s="1689">
        <f t="shared" si="334"/>
        <v>0</v>
      </c>
      <c r="I1853" s="1689"/>
      <c r="J1853" s="1689"/>
      <c r="K1853" s="1689">
        <f t="shared" si="335"/>
        <v>0</v>
      </c>
      <c r="L1853" s="1689"/>
      <c r="M1853" s="1689"/>
      <c r="N1853" s="1689"/>
      <c r="O1853" s="1689"/>
      <c r="P1853" s="1689">
        <f t="shared" si="329"/>
        <v>0</v>
      </c>
      <c r="Q1853" s="985"/>
      <c r="R1853" s="985"/>
      <c r="S1853" s="985"/>
      <c r="T1853" s="1858">
        <f>IFERROR(HLOOKUP(B1853,pp3p1m!$1:$3,3,0),0)</f>
        <v>0</v>
      </c>
    </row>
    <row r="1854" spans="1:20" ht="22.2" hidden="1" customHeight="1">
      <c r="A1854" s="1444">
        <f>COUNTIF($C$12:C1854,"x")</f>
        <v>44</v>
      </c>
      <c r="B1854" s="1451" t="s">
        <v>417</v>
      </c>
      <c r="C1854" s="966" t="str">
        <f t="shared" si="324"/>
        <v xml:space="preserve"> </v>
      </c>
      <c r="D1854" s="1411">
        <f>D1850</f>
        <v>0</v>
      </c>
      <c r="E1854" s="976"/>
      <c r="F1854" s="988" t="str">
        <f>VLOOKUP($B1854,DG!A:D,DG!$C$2,)</f>
        <v>Boulon mắt 16x300+ 2 long đền vuông D18-50x50x3/Zn</v>
      </c>
      <c r="G1854" s="976" t="str">
        <f>VLOOKUP($B1854,DG!A:D,DG!$D$2,)</f>
        <v>bộ</v>
      </c>
      <c r="H1854" s="1689">
        <f t="shared" si="334"/>
        <v>0</v>
      </c>
      <c r="I1854" s="1689"/>
      <c r="J1854" s="1689"/>
      <c r="K1854" s="1689">
        <f t="shared" si="335"/>
        <v>0</v>
      </c>
      <c r="L1854" s="1689"/>
      <c r="M1854" s="1689"/>
      <c r="N1854" s="1689"/>
      <c r="O1854" s="1689"/>
      <c r="P1854" s="1689">
        <f t="shared" si="329"/>
        <v>0</v>
      </c>
      <c r="Q1854" s="985"/>
      <c r="R1854" s="985"/>
      <c r="S1854" s="985"/>
      <c r="T1854" s="1858">
        <f>IFERROR(HLOOKUP(B1854,pp3p1m!$1:$3,3,0),0)</f>
        <v>0</v>
      </c>
    </row>
    <row r="1855" spans="1:20" ht="22.2" hidden="1" customHeight="1">
      <c r="A1855" s="1444">
        <f>COUNTIF($C$12:C1855,"x")</f>
        <v>44</v>
      </c>
      <c r="B1855" s="1462" t="s">
        <v>2420</v>
      </c>
      <c r="C1855" s="966" t="str">
        <f t="shared" si="324"/>
        <v xml:space="preserve"> </v>
      </c>
      <c r="D1855" s="1427"/>
      <c r="E1855" s="976"/>
      <c r="F1855" s="988" t="str">
        <f>VLOOKUP($B1855,DG!A:D,DG!$C$2,)&amp;""</f>
        <v>Cổ dê bắt xà + bulon</v>
      </c>
      <c r="G1855" s="976" t="s">
        <v>2439</v>
      </c>
      <c r="H1855" s="1689">
        <f t="shared" si="334"/>
        <v>0</v>
      </c>
      <c r="I1855" s="1689"/>
      <c r="J1855" s="1689"/>
      <c r="K1855" s="1689">
        <f t="shared" si="335"/>
        <v>0</v>
      </c>
      <c r="L1855" s="1689"/>
      <c r="M1855" s="1689"/>
      <c r="N1855" s="1689"/>
      <c r="O1855" s="1689"/>
      <c r="P1855" s="1689">
        <f t="shared" si="329"/>
        <v>0</v>
      </c>
      <c r="Q1855" s="985"/>
      <c r="R1855" s="985"/>
      <c r="S1855" s="985"/>
      <c r="T1855" s="1858">
        <f>IFERROR(HLOOKUP(B1855,pp3p1m!$1:$3,3,0),0)</f>
        <v>0</v>
      </c>
    </row>
    <row r="1856" spans="1:20" ht="22.2" hidden="1" customHeight="1">
      <c r="A1856" s="1444">
        <f>COUNTIF($C$12:C1856,"x")</f>
        <v>44</v>
      </c>
      <c r="B1856" s="1462" t="s">
        <v>1272</v>
      </c>
      <c r="C1856" s="966" t="str">
        <f t="shared" si="324"/>
        <v xml:space="preserve"> </v>
      </c>
      <c r="D1856" s="1427"/>
      <c r="E1856" s="976"/>
      <c r="F1856" s="988" t="str">
        <f>VLOOKUP($B1856,DG!A:D,DG!$C$2,)&amp;""</f>
        <v xml:space="preserve">Cổ dê giữ ống D140 vào trụ + Bulon </v>
      </c>
      <c r="G1856" s="976" t="s">
        <v>2439</v>
      </c>
      <c r="H1856" s="1689">
        <f t="shared" si="334"/>
        <v>0</v>
      </c>
      <c r="I1856" s="1689"/>
      <c r="J1856" s="1689"/>
      <c r="K1856" s="1689">
        <f t="shared" si="335"/>
        <v>0</v>
      </c>
      <c r="L1856" s="1689"/>
      <c r="M1856" s="1689"/>
      <c r="N1856" s="1689"/>
      <c r="O1856" s="1689"/>
      <c r="P1856" s="1689">
        <f t="shared" si="329"/>
        <v>0</v>
      </c>
      <c r="Q1856" s="985"/>
      <c r="R1856" s="985"/>
      <c r="S1856" s="985"/>
      <c r="T1856" s="1858">
        <f>IFERROR(HLOOKUP(B1856,pp3p1m!$1:$3,3,0),0)</f>
        <v>0</v>
      </c>
    </row>
    <row r="1857" spans="1:20" ht="22.2" hidden="1" customHeight="1">
      <c r="A1857" s="1444">
        <f>COUNTIF($C$12:C1857,"x")</f>
        <v>44</v>
      </c>
      <c r="B1857" s="1468" t="s">
        <v>2513</v>
      </c>
      <c r="C1857" s="966" t="str">
        <f t="shared" si="324"/>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2" hidden="1" customHeight="1">
      <c r="A1858" s="1444">
        <f>COUNTIF($C$12:C1858,"x")</f>
        <v>44</v>
      </c>
      <c r="B1858" s="1451" t="s">
        <v>2106</v>
      </c>
      <c r="C1858" s="966" t="str">
        <f t="shared" si="324"/>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9"/>
        <v>0</v>
      </c>
      <c r="Q1858" s="985"/>
      <c r="R1858" s="985"/>
      <c r="S1858" s="985"/>
      <c r="T1858" s="1858">
        <f>IFERROR(HLOOKUP(B1858,pp3p1m!$1:$3,3,0),0)</f>
        <v>0</v>
      </c>
    </row>
    <row r="1859" spans="1:20" ht="22.2" hidden="1" customHeight="1">
      <c r="A1859" s="1444">
        <f>COUNTIF($C$12:C1859,"x")</f>
        <v>44</v>
      </c>
      <c r="B1859" s="1451" t="s">
        <v>1797</v>
      </c>
      <c r="C1859" s="966" t="str">
        <f t="shared" si="324"/>
        <v xml:space="preserve"> </v>
      </c>
      <c r="D1859" s="1424">
        <f t="shared" ref="D1859:D1926" si="336">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9"/>
        <v>0</v>
      </c>
      <c r="Q1859" s="985"/>
      <c r="R1859" s="985"/>
      <c r="S1859" s="985"/>
      <c r="T1859" s="1858">
        <f>IFERROR(HLOOKUP(B1859,pp3p1m!$1:$3,3,0),0)</f>
        <v>0</v>
      </c>
    </row>
    <row r="1860" spans="1:20" ht="22.2" hidden="1" customHeight="1">
      <c r="A1860" s="1444">
        <f>COUNTIF($C$12:C1860,"x")</f>
        <v>44</v>
      </c>
      <c r="B1860" s="1475"/>
      <c r="C1860" s="966" t="str">
        <f>IF(SUM(I1860:O1860)&gt;0,"x","")</f>
        <v/>
      </c>
      <c r="D1860" s="1424">
        <f t="shared" si="336"/>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2" hidden="1" customHeight="1">
      <c r="A1861" s="1444">
        <f>COUNTIF($C$12:C1861,"x")</f>
        <v>44</v>
      </c>
      <c r="B1861" s="1793" t="s">
        <v>6497</v>
      </c>
      <c r="C1861" s="966" t="str">
        <f t="shared" ref="C1861:C1889" si="337">IF(OR(P1861&lt;&gt;0,H1861&lt;&gt;0),"x","")</f>
        <v/>
      </c>
      <c r="D1861" s="1424">
        <f t="shared" ref="D1861:D1889" si="338">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9">T1861</f>
        <v>0</v>
      </c>
      <c r="Q1861" s="1689">
        <f t="shared" ref="Q1861:Q1889" si="340">IF(P1861&gt;H1861,P1861-H1861,0)</f>
        <v>0</v>
      </c>
      <c r="R1861" s="1689">
        <f t="shared" ref="R1861:R1889" si="341">IF(H1861&gt;P1861,H1861-P1861,0)</f>
        <v>0</v>
      </c>
      <c r="S1861" s="985"/>
      <c r="T1861" s="1858">
        <f>IFERROR(HLOOKUP(B1861,pp3p1m!$1:$3,3,0),0)</f>
        <v>0</v>
      </c>
    </row>
    <row r="1862" spans="1:20" ht="22.2" hidden="1" customHeight="1">
      <c r="A1862" s="1444">
        <f>COUNTIF($C$12:C1862,"x")</f>
        <v>44</v>
      </c>
      <c r="B1862" s="1793" t="s">
        <v>6483</v>
      </c>
      <c r="C1862" s="966" t="str">
        <f t="shared" si="337"/>
        <v/>
      </c>
      <c r="D1862" s="1424">
        <f t="shared" si="338"/>
        <v>0</v>
      </c>
      <c r="E1862" s="976"/>
      <c r="F1862" s="988" t="str">
        <f>VLOOKUP($B1862,DG!A:D,DG!$C$2,)</f>
        <v>Dây buộc cổ sứ cỡ dây 95mm2</v>
      </c>
      <c r="G1862" s="976" t="str">
        <f>VLOOKUP($B1862,DG!A:D,DG!$D$2,)</f>
        <v>cái</v>
      </c>
      <c r="H1862" s="1689">
        <f t="shared" ref="H1862:H1934" si="342">IF(D1862&gt;0,D1862,K1862)</f>
        <v>0</v>
      </c>
      <c r="I1862" s="1689"/>
      <c r="J1862" s="1689"/>
      <c r="K1862" s="1688">
        <f>IFERROR(HLOOKUP(B1862,pp3p1m!$1:$3,2,0),0)</f>
        <v>0</v>
      </c>
      <c r="L1862" s="1689"/>
      <c r="M1862" s="1689"/>
      <c r="N1862" s="1784"/>
      <c r="O1862" s="1689"/>
      <c r="P1862" s="1689">
        <f t="shared" si="339"/>
        <v>0</v>
      </c>
      <c r="Q1862" s="1689">
        <f t="shared" si="340"/>
        <v>0</v>
      </c>
      <c r="R1862" s="1689">
        <f t="shared" si="341"/>
        <v>0</v>
      </c>
      <c r="S1862" s="985"/>
      <c r="T1862" s="1858">
        <f>IFERROR(HLOOKUP(B1862,pp3p1m!$1:$3,3,0),0)</f>
        <v>0</v>
      </c>
    </row>
    <row r="1863" spans="1:20" ht="22.2" hidden="1" customHeight="1">
      <c r="A1863" s="1444">
        <f>COUNTIF($C$12:C1863,"x")</f>
        <v>44</v>
      </c>
      <c r="B1863" s="1793" t="s">
        <v>6500</v>
      </c>
      <c r="C1863" s="966" t="str">
        <f t="shared" si="337"/>
        <v/>
      </c>
      <c r="D1863" s="1424">
        <f t="shared" si="338"/>
        <v>0</v>
      </c>
      <c r="E1863" s="976"/>
      <c r="F1863" s="988" t="str">
        <f>VLOOKUP($B1863,DG!A:D,DG!$C$2,)</f>
        <v>Dây buộc đầu sứ cỡ dây 185mm2</v>
      </c>
      <c r="G1863" s="976" t="str">
        <f>VLOOKUP($B1863,DG!A:D,DG!$D$2,)</f>
        <v>cái</v>
      </c>
      <c r="H1863" s="1689">
        <f t="shared" si="342"/>
        <v>0</v>
      </c>
      <c r="I1863" s="1689"/>
      <c r="J1863" s="1689"/>
      <c r="K1863" s="1688">
        <f>IFERROR(HLOOKUP(B1863,pp3p1m!$1:$3,2,0),0)</f>
        <v>0</v>
      </c>
      <c r="L1863" s="1689"/>
      <c r="M1863" s="1689"/>
      <c r="N1863" s="1784"/>
      <c r="O1863" s="1689"/>
      <c r="P1863" s="1784">
        <f t="shared" si="339"/>
        <v>0</v>
      </c>
      <c r="Q1863" s="1689">
        <f t="shared" si="340"/>
        <v>0</v>
      </c>
      <c r="R1863" s="1689">
        <f t="shared" si="341"/>
        <v>0</v>
      </c>
      <c r="S1863" s="985"/>
      <c r="T1863" s="1858">
        <f>IFERROR(HLOOKUP(B1863,pp3p1m!$1:$3,3,0),0)</f>
        <v>0</v>
      </c>
    </row>
    <row r="1864" spans="1:20" ht="22.2" hidden="1" customHeight="1">
      <c r="A1864" s="1444">
        <f>COUNTIF($C$12:C1864,"x")</f>
        <v>44</v>
      </c>
      <c r="B1864" s="1793" t="s">
        <v>6486</v>
      </c>
      <c r="C1864" s="966" t="str">
        <f t="shared" si="337"/>
        <v/>
      </c>
      <c r="D1864" s="1424">
        <f t="shared" si="338"/>
        <v>0</v>
      </c>
      <c r="E1864" s="976"/>
      <c r="F1864" s="988" t="str">
        <f>VLOOKUP($B1864,DG!A:D,DG!$C$2,)</f>
        <v>Dây buộc cổ sứ cỡ dây 185mm2</v>
      </c>
      <c r="G1864" s="976" t="str">
        <f>VLOOKUP($B1864,DG!A:D,DG!$D$2,)</f>
        <v>cái</v>
      </c>
      <c r="H1864" s="1689">
        <f t="shared" si="342"/>
        <v>0</v>
      </c>
      <c r="I1864" s="1689"/>
      <c r="J1864" s="1689"/>
      <c r="K1864" s="1688">
        <f>IFERROR(HLOOKUP(B1864,pp3p1m!$1:$3,2,0),0)</f>
        <v>0</v>
      </c>
      <c r="L1864" s="1689"/>
      <c r="M1864" s="1689"/>
      <c r="N1864" s="1784"/>
      <c r="O1864" s="1689"/>
      <c r="P1864" s="1784">
        <f t="shared" si="339"/>
        <v>0</v>
      </c>
      <c r="Q1864" s="1689">
        <f t="shared" si="340"/>
        <v>0</v>
      </c>
      <c r="R1864" s="1689">
        <f t="shared" si="341"/>
        <v>0</v>
      </c>
      <c r="S1864" s="985"/>
      <c r="T1864" s="1858">
        <f>IFERROR(HLOOKUP(B1864,pp3p1m!$1:$3,3,0),0)</f>
        <v>0</v>
      </c>
    </row>
    <row r="1865" spans="1:20" ht="22.2" hidden="1" customHeight="1">
      <c r="A1865" s="1444">
        <f>COUNTIF($C$12:C1865,"x")</f>
        <v>44</v>
      </c>
      <c r="B1865" s="1793" t="s">
        <v>236</v>
      </c>
      <c r="C1865" s="966" t="str">
        <f t="shared" si="337"/>
        <v/>
      </c>
      <c r="D1865" s="1424">
        <f t="shared" si="338"/>
        <v>0</v>
      </c>
      <c r="E1865" s="976"/>
      <c r="F1865" s="988" t="str">
        <f>VLOOKUP($B1865,DG!A:D,DG!$C$2,)</f>
        <v>Kẹp quai 4/0</v>
      </c>
      <c r="G1865" s="976" t="str">
        <f>VLOOKUP($B1865,DG!A:D,DG!$D$2,)</f>
        <v>cái</v>
      </c>
      <c r="H1865" s="1689">
        <f t="shared" si="342"/>
        <v>0</v>
      </c>
      <c r="I1865" s="1689"/>
      <c r="J1865" s="1689"/>
      <c r="K1865" s="1688">
        <f>IFERROR(HLOOKUP(B1865,pp3p1m!$1:$3,2,0),0)</f>
        <v>0</v>
      </c>
      <c r="L1865" s="1689"/>
      <c r="M1865" s="1689"/>
      <c r="N1865" s="1784"/>
      <c r="O1865" s="1689"/>
      <c r="P1865" s="1689">
        <f t="shared" si="339"/>
        <v>0</v>
      </c>
      <c r="Q1865" s="1689">
        <f t="shared" si="340"/>
        <v>0</v>
      </c>
      <c r="R1865" s="1689">
        <f t="shared" si="341"/>
        <v>0</v>
      </c>
      <c r="S1865" s="985"/>
      <c r="T1865" s="1858">
        <f>IFERROR(HLOOKUP(B1865,pp3p1m!$1:$3,3,0),0)</f>
        <v>0</v>
      </c>
    </row>
    <row r="1866" spans="1:20" ht="22.2" hidden="1" customHeight="1">
      <c r="A1866" s="1444">
        <f>COUNTIF($C$12:C1866,"x")</f>
        <v>44</v>
      </c>
      <c r="B1866" s="1793" t="s">
        <v>1049</v>
      </c>
      <c r="C1866" s="966" t="str">
        <f t="shared" si="337"/>
        <v/>
      </c>
      <c r="D1866" s="1424">
        <f t="shared" si="338"/>
        <v>0</v>
      </c>
      <c r="E1866" s="976"/>
      <c r="F1866" s="988" t="str">
        <f>VLOOKUP($B1866,DG!A:D,DG!$C$2,)</f>
        <v>Kẹp hotline 4/0</v>
      </c>
      <c r="G1866" s="976" t="str">
        <f>VLOOKUP($B1866,DG!A:D,DG!$D$2,)</f>
        <v>cái</v>
      </c>
      <c r="H1866" s="1689">
        <f t="shared" si="342"/>
        <v>0</v>
      </c>
      <c r="I1866" s="1689"/>
      <c r="J1866" s="1689"/>
      <c r="K1866" s="1688">
        <f>IFERROR(HLOOKUP(B1866,pp3p1m!$1:$3,2,0),0)</f>
        <v>0</v>
      </c>
      <c r="L1866" s="1689"/>
      <c r="M1866" s="1689"/>
      <c r="N1866" s="1784"/>
      <c r="O1866" s="1689"/>
      <c r="P1866" s="1689">
        <f t="shared" si="339"/>
        <v>0</v>
      </c>
      <c r="Q1866" s="1689">
        <f t="shared" si="340"/>
        <v>0</v>
      </c>
      <c r="R1866" s="1689">
        <f t="shared" si="341"/>
        <v>0</v>
      </c>
      <c r="S1866" s="985"/>
      <c r="T1866" s="1858">
        <f>IFERROR(HLOOKUP(B1866,pp3p1m!$1:$3,3,0),0)</f>
        <v>0</v>
      </c>
    </row>
    <row r="1867" spans="1:20" ht="22.2" hidden="1" customHeight="1">
      <c r="A1867" s="1444">
        <f>COUNTIF($C$12:C1867,"x")</f>
        <v>44</v>
      </c>
      <c r="B1867" s="1793" t="s">
        <v>1580</v>
      </c>
      <c r="C1867" s="966" t="str">
        <f t="shared" si="337"/>
        <v/>
      </c>
      <c r="D1867" s="1424">
        <f t="shared" si="338"/>
        <v>0</v>
      </c>
      <c r="E1867" s="976"/>
      <c r="F1867" s="988" t="str">
        <f>VLOOKUP($B1867,DG!A:D,DG!$C$2,)</f>
        <v>Kẹp ép WR cỡ dây 70mm2</v>
      </c>
      <c r="G1867" s="976" t="str">
        <f>VLOOKUP($B1867,DG!A:D,DG!$D$2,)</f>
        <v>cái</v>
      </c>
      <c r="H1867" s="1689">
        <f t="shared" si="342"/>
        <v>0</v>
      </c>
      <c r="I1867" s="1689"/>
      <c r="J1867" s="1689"/>
      <c r="K1867" s="1688">
        <f>IFERROR(HLOOKUP(B1867,pp3p1m!$1:$3,2,0),0)</f>
        <v>0</v>
      </c>
      <c r="L1867" s="1689"/>
      <c r="M1867" s="1689"/>
      <c r="N1867" s="1784"/>
      <c r="O1867" s="1689"/>
      <c r="P1867" s="1689">
        <f t="shared" si="339"/>
        <v>0</v>
      </c>
      <c r="Q1867" s="1689">
        <f t="shared" si="340"/>
        <v>0</v>
      </c>
      <c r="R1867" s="1689">
        <f t="shared" si="341"/>
        <v>0</v>
      </c>
      <c r="S1867" s="985"/>
      <c r="T1867" s="1858">
        <f>IFERROR(HLOOKUP(B1867,pp3p1m!$1:$3,3,0),0)</f>
        <v>0</v>
      </c>
    </row>
    <row r="1868" spans="1:20" ht="22.2" hidden="1" customHeight="1">
      <c r="A1868" s="1444">
        <f>COUNTIF($C$12:C1868,"x")</f>
        <v>44</v>
      </c>
      <c r="B1868" s="1793" t="s">
        <v>240</v>
      </c>
      <c r="C1868" s="966" t="str">
        <f t="shared" si="337"/>
        <v/>
      </c>
      <c r="D1868" s="1424">
        <f t="shared" si="338"/>
        <v>0</v>
      </c>
      <c r="E1868" s="976"/>
      <c r="F1868" s="988" t="str">
        <f>VLOOKUP($B1868,DG!A:D,DG!$C$2,)</f>
        <v>Kẹp ép WR cỡ dây 95mm2</v>
      </c>
      <c r="G1868" s="976" t="str">
        <f>VLOOKUP($B1868,DG!A:D,DG!$D$2,)</f>
        <v>cái</v>
      </c>
      <c r="H1868" s="1689">
        <f t="shared" si="342"/>
        <v>0</v>
      </c>
      <c r="I1868" s="1689"/>
      <c r="J1868" s="1689"/>
      <c r="K1868" s="1688">
        <f>IFERROR(HLOOKUP(B1868,pp3p1m!$1:$3,2,0),0)</f>
        <v>0</v>
      </c>
      <c r="L1868" s="1689"/>
      <c r="M1868" s="1689"/>
      <c r="N1868" s="1784"/>
      <c r="O1868" s="1689"/>
      <c r="P1868" s="1689">
        <f t="shared" si="339"/>
        <v>0</v>
      </c>
      <c r="Q1868" s="1689">
        <f t="shared" si="340"/>
        <v>0</v>
      </c>
      <c r="R1868" s="1689">
        <f t="shared" si="341"/>
        <v>0</v>
      </c>
      <c r="S1868" s="985"/>
      <c r="T1868" s="1858">
        <f>IFERROR(HLOOKUP(B1868,pp3p1m!$1:$3,3,0),0)</f>
        <v>0</v>
      </c>
    </row>
    <row r="1869" spans="1:20" ht="22.2" hidden="1" customHeight="1">
      <c r="A1869" s="1444">
        <f>COUNTIF($C$12:C1869,"x")</f>
        <v>45</v>
      </c>
      <c r="B1869" s="1793" t="s">
        <v>6510</v>
      </c>
      <c r="C1869" s="966" t="str">
        <f t="shared" si="337"/>
        <v>x</v>
      </c>
      <c r="D1869" s="1424">
        <v>84</v>
      </c>
      <c r="E1869" s="976"/>
      <c r="F1869" s="988" t="str">
        <f>VLOOKUP($B1869,DG!A:D,DG!$C$2,)</f>
        <v>Ống nối dây AC-185</v>
      </c>
      <c r="G1869" s="976" t="str">
        <f>VLOOKUP($B1869,DG!A:D,DG!$D$2,)</f>
        <v>cái</v>
      </c>
      <c r="H1869" s="1689">
        <f t="shared" si="342"/>
        <v>84</v>
      </c>
      <c r="I1869" s="1689"/>
      <c r="J1869" s="1689"/>
      <c r="K1869" s="1688">
        <f>IFERROR(HLOOKUP(B1869,pp3p1m!$1:$3,2,0),0)</f>
        <v>0</v>
      </c>
      <c r="L1869" s="1689"/>
      <c r="M1869" s="1689"/>
      <c r="N1869" s="1784"/>
      <c r="O1869" s="1689"/>
      <c r="P1869" s="1689">
        <f>H1869</f>
        <v>84</v>
      </c>
      <c r="Q1869" s="1689">
        <f t="shared" si="340"/>
        <v>0</v>
      </c>
      <c r="R1869" s="1689">
        <f t="shared" si="341"/>
        <v>0</v>
      </c>
      <c r="S1869" s="985"/>
      <c r="T1869" s="1858">
        <f>IFERROR(HLOOKUP(B1869,pp3p1m!$1:$3,3,0),0)</f>
        <v>0</v>
      </c>
    </row>
    <row r="1870" spans="1:20" ht="22.2" hidden="1" customHeight="1">
      <c r="A1870" s="1444">
        <f>COUNTIF($C$12:C1870,"x")</f>
        <v>45</v>
      </c>
      <c r="B1870" s="1793" t="s">
        <v>4671</v>
      </c>
      <c r="C1870" s="966" t="str">
        <f t="shared" si="337"/>
        <v/>
      </c>
      <c r="D1870" s="1424">
        <f>K1870*3</f>
        <v>0</v>
      </c>
      <c r="E1870" s="976"/>
      <c r="F1870" s="988" t="str">
        <f>VLOOKUP($B1870,DG!A:D,DG!$C$2,)</f>
        <v>Ong co nhiệt</v>
      </c>
      <c r="G1870" s="976" t="str">
        <f>VLOOKUP($B1870,DG!A:D,DG!$D$2,)</f>
        <v>m</v>
      </c>
      <c r="H1870" s="1689">
        <f t="shared" si="342"/>
        <v>0</v>
      </c>
      <c r="I1870" s="1689"/>
      <c r="J1870" s="1689"/>
      <c r="K1870" s="1688">
        <f>IFERROR(HLOOKUP(B1870,pp3p1m!$1:$3,2,0),0)</f>
        <v>0</v>
      </c>
      <c r="L1870" s="1689"/>
      <c r="M1870" s="1689"/>
      <c r="N1870" s="1784"/>
      <c r="O1870" s="1689"/>
      <c r="P1870" s="1689">
        <f>H1870</f>
        <v>0</v>
      </c>
      <c r="Q1870" s="1689">
        <f t="shared" si="340"/>
        <v>0</v>
      </c>
      <c r="R1870" s="1689">
        <f t="shared" si="341"/>
        <v>0</v>
      </c>
      <c r="S1870" s="985"/>
      <c r="T1870" s="1858">
        <f>IFERROR(HLOOKUP(B1870,pp3p1m!$1:$3,3,0),0)</f>
        <v>0</v>
      </c>
    </row>
    <row r="1871" spans="1:20" ht="22.2" hidden="1" customHeight="1">
      <c r="A1871" s="1444">
        <f>COUNTIF($C$12:C1871,"x")</f>
        <v>45</v>
      </c>
      <c r="B1871" s="1793" t="s">
        <v>5796</v>
      </c>
      <c r="C1871" s="966" t="str">
        <f t="shared" si="337"/>
        <v/>
      </c>
      <c r="D1871" s="1424">
        <f t="shared" si="338"/>
        <v>0</v>
      </c>
      <c r="E1871" s="976"/>
      <c r="F1871" s="988" t="str">
        <f>VLOOKUP($B1871,DG!A:D,DG!$C$2,)</f>
        <v>Băng keo cách điện trung thế</v>
      </c>
      <c r="G1871" s="976" t="str">
        <f>VLOOKUP($B1871,DG!A:D,DG!$D$2,)</f>
        <v>cuộn</v>
      </c>
      <c r="H1871" s="1689">
        <f t="shared" si="342"/>
        <v>0</v>
      </c>
      <c r="I1871" s="1689"/>
      <c r="J1871" s="1689"/>
      <c r="K1871" s="1688">
        <f>IFERROR(HLOOKUP(B1871,pp3p1m!$1:$3,2,0),0)</f>
        <v>0</v>
      </c>
      <c r="L1871" s="1689"/>
      <c r="M1871" s="1689"/>
      <c r="N1871" s="1784"/>
      <c r="O1871" s="1689"/>
      <c r="P1871" s="1689">
        <f t="shared" ref="P1871:P1886" si="343">H1871</f>
        <v>0</v>
      </c>
      <c r="Q1871" s="1689">
        <f t="shared" si="340"/>
        <v>0</v>
      </c>
      <c r="R1871" s="1689">
        <f t="shared" si="341"/>
        <v>0</v>
      </c>
      <c r="S1871" s="985"/>
      <c r="T1871" s="1858">
        <f>IFERROR(HLOOKUP(B1871,pp3p1m!$1:$3,3,0),0)</f>
        <v>0</v>
      </c>
    </row>
    <row r="1872" spans="1:20" ht="22.2" hidden="1" customHeight="1">
      <c r="A1872" s="1444">
        <f>COUNTIF($C$12:C1872,"x")</f>
        <v>46</v>
      </c>
      <c r="B1872" s="1456" t="s">
        <v>550</v>
      </c>
      <c r="C1872" s="966" t="str">
        <f t="shared" si="337"/>
        <v>x</v>
      </c>
      <c r="D1872" s="1424">
        <v>3</v>
      </c>
      <c r="E1872" s="976"/>
      <c r="F1872" s="988" t="str">
        <f>VLOOKUP($B1872,DG!A:D,DG!$C$2,)</f>
        <v>Bass LI bắt FCO</v>
      </c>
      <c r="G1872" s="976" t="str">
        <f>VLOOKUP($B1872,DG!A:D,DG!$D$2,)</f>
        <v>Bộ</v>
      </c>
      <c r="H1872" s="1689">
        <f t="shared" si="342"/>
        <v>3</v>
      </c>
      <c r="I1872" s="1689"/>
      <c r="J1872" s="1689"/>
      <c r="K1872" s="1688">
        <f>IFERROR(HLOOKUP(B1872,pp3p1m!$1:$3,2,0),0)</f>
        <v>0</v>
      </c>
      <c r="L1872" s="1689"/>
      <c r="M1872" s="1689"/>
      <c r="N1872" s="1784"/>
      <c r="O1872" s="1689"/>
      <c r="P1872" s="1689">
        <f t="shared" si="343"/>
        <v>3</v>
      </c>
      <c r="Q1872" s="1689">
        <f t="shared" si="340"/>
        <v>0</v>
      </c>
      <c r="R1872" s="1689">
        <f t="shared" si="341"/>
        <v>0</v>
      </c>
      <c r="S1872" s="985"/>
      <c r="T1872" s="1858">
        <f>IFERROR(HLOOKUP(B1872,pp3p1m!$1:$3,3,0),0)</f>
        <v>0</v>
      </c>
    </row>
    <row r="1873" spans="1:20" ht="22.2" hidden="1" customHeight="1">
      <c r="A1873" s="1444">
        <f>COUNTIF($C$12:C1873,"x")</f>
        <v>47</v>
      </c>
      <c r="B1873" s="1456" t="s">
        <v>1840</v>
      </c>
      <c r="C1873" s="966" t="str">
        <f t="shared" si="337"/>
        <v>x</v>
      </c>
      <c r="D1873" s="1424">
        <v>3</v>
      </c>
      <c r="E1873" s="976"/>
      <c r="F1873" s="988" t="str">
        <f>VLOOKUP($B1873,DG!A:D,DG!$C$2,)</f>
        <v>Bass LL bắt FCO, LA</v>
      </c>
      <c r="G1873" s="976" t="str">
        <f>VLOOKUP($B1873,DG!A:D,DG!$D$2,)</f>
        <v>bộ</v>
      </c>
      <c r="H1873" s="1689">
        <f t="shared" si="342"/>
        <v>3</v>
      </c>
      <c r="I1873" s="1689"/>
      <c r="J1873" s="1689"/>
      <c r="K1873" s="1688">
        <f>IFERROR(HLOOKUP(B1873,pp3p1m!$1:$3,2,0),0)</f>
        <v>0</v>
      </c>
      <c r="L1873" s="1689"/>
      <c r="M1873" s="1689"/>
      <c r="N1873" s="1784"/>
      <c r="O1873" s="1689"/>
      <c r="P1873" s="1689">
        <f t="shared" si="343"/>
        <v>3</v>
      </c>
      <c r="Q1873" s="1689">
        <f t="shared" si="340"/>
        <v>0</v>
      </c>
      <c r="R1873" s="1689">
        <f t="shared" si="341"/>
        <v>0</v>
      </c>
      <c r="S1873" s="985"/>
      <c r="T1873" s="1858">
        <f>IFERROR(HLOOKUP(B1873,pp3p1m!$1:$3,3,0),0)</f>
        <v>0</v>
      </c>
    </row>
    <row r="1874" spans="1:20" ht="22.2" hidden="1" customHeight="1">
      <c r="A1874" s="1444">
        <f>COUNTIF($C$12:C1874,"x")</f>
        <v>47</v>
      </c>
      <c r="B1874" s="1456" t="s">
        <v>4460</v>
      </c>
      <c r="C1874" s="966" t="str">
        <f t="shared" si="337"/>
        <v/>
      </c>
      <c r="D1874" s="1424">
        <f>D1865</f>
        <v>0</v>
      </c>
      <c r="E1874" s="976"/>
      <c r="F1874" s="988" t="str">
        <f>VLOOKUP($B1874,DG!A:D,DG!$C$2,)</f>
        <v>Nắp chụp kẹp quai + hotline</v>
      </c>
      <c r="G1874" s="976" t="str">
        <f>VLOOKUP($B1874,DG!A:D,DG!$D$2,)</f>
        <v>bộ</v>
      </c>
      <c r="H1874" s="1689">
        <f t="shared" si="342"/>
        <v>0</v>
      </c>
      <c r="I1874" s="1689"/>
      <c r="J1874" s="1689"/>
      <c r="K1874" s="1688">
        <f>IFERROR(HLOOKUP(B1874,pp3p1m!$1:$3,2,0),0)</f>
        <v>0</v>
      </c>
      <c r="L1874" s="1689"/>
      <c r="M1874" s="1689"/>
      <c r="N1874" s="1784"/>
      <c r="O1874" s="1689"/>
      <c r="P1874" s="1689">
        <f t="shared" si="343"/>
        <v>0</v>
      </c>
      <c r="Q1874" s="1689">
        <f t="shared" si="340"/>
        <v>0</v>
      </c>
      <c r="R1874" s="1689">
        <f t="shared" si="341"/>
        <v>0</v>
      </c>
      <c r="S1874" s="985"/>
      <c r="T1874" s="1858">
        <f>IFERROR(HLOOKUP(B1874,pp3p1m!$1:$3,3,0),0)</f>
        <v>0</v>
      </c>
    </row>
    <row r="1875" spans="1:20" ht="22.2" hidden="1" customHeight="1">
      <c r="A1875" s="1444">
        <f>COUNTIF($C$12:C1875,"x")</f>
        <v>48</v>
      </c>
      <c r="B1875" s="1456" t="s">
        <v>6537</v>
      </c>
      <c r="C1875" s="966" t="str">
        <f t="shared" si="337"/>
        <v>x</v>
      </c>
      <c r="D1875" s="1424">
        <v>6</v>
      </c>
      <c r="E1875" s="976"/>
      <c r="F1875" s="988" t="str">
        <f>VLOOKUP($B1875,DG!A:D,DG!$C$2,)</f>
        <v>Chụp đầu cực LBS, Recloser</v>
      </c>
      <c r="G1875" s="976" t="str">
        <f>VLOOKUP($B1875,DG!A:D,DG!$D$2,)</f>
        <v>cái</v>
      </c>
      <c r="H1875" s="1689">
        <f t="shared" si="342"/>
        <v>6</v>
      </c>
      <c r="I1875" s="1689"/>
      <c r="J1875" s="1689"/>
      <c r="K1875" s="1688">
        <f>IFERROR(HLOOKUP(B1875,pp3p1m!$1:$3,2,0),0)</f>
        <v>0</v>
      </c>
      <c r="L1875" s="1689"/>
      <c r="M1875" s="1689"/>
      <c r="N1875" s="1784"/>
      <c r="O1875" s="1689"/>
      <c r="P1875" s="1689">
        <f t="shared" si="343"/>
        <v>6</v>
      </c>
      <c r="Q1875" s="1689">
        <f t="shared" si="340"/>
        <v>0</v>
      </c>
      <c r="R1875" s="1689">
        <f t="shared" si="341"/>
        <v>0</v>
      </c>
      <c r="S1875" s="985"/>
      <c r="T1875" s="1858">
        <f>IFERROR(HLOOKUP(B1875,pp3p1m!$1:$3,3,0),0)</f>
        <v>0</v>
      </c>
    </row>
    <row r="1876" spans="1:20" ht="22.2" hidden="1" customHeight="1">
      <c r="A1876" s="1444">
        <f>COUNTIF($C$12:C1876,"x")</f>
        <v>49</v>
      </c>
      <c r="B1876" s="1456" t="s">
        <v>382</v>
      </c>
      <c r="C1876" s="966" t="str">
        <f t="shared" ref="C1876:C1888" si="344">IF(OR(P1876&lt;&gt;0,H1876&lt;&gt;0),"x","")</f>
        <v>x</v>
      </c>
      <c r="D1876" s="1424">
        <v>4</v>
      </c>
      <c r="E1876" s="976"/>
      <c r="F1876" s="988" t="str">
        <f>VLOOKUP($B1876,DG!A:D,DG!$C$2,)</f>
        <v>Chụp đầu cực FCO (bộ 2 cái)</v>
      </c>
      <c r="G1876" s="976" t="str">
        <f>VLOOKUP($B1876,DG!A:D,DG!$D$2,)</f>
        <v>bộ</v>
      </c>
      <c r="H1876" s="1689">
        <f t="shared" ref="H1876:H1888" si="345">IF(D1876&gt;0,D1876,K1876)</f>
        <v>4</v>
      </c>
      <c r="I1876" s="1689"/>
      <c r="J1876" s="1689"/>
      <c r="K1876" s="1688">
        <f>IFERROR(HLOOKUP(B1876,pp3p1m!$1:$3,2,0),0)</f>
        <v>0</v>
      </c>
      <c r="L1876" s="1689"/>
      <c r="M1876" s="1689"/>
      <c r="N1876" s="1784"/>
      <c r="O1876" s="1689"/>
      <c r="P1876" s="1689">
        <f t="shared" si="343"/>
        <v>4</v>
      </c>
      <c r="Q1876" s="1689">
        <f t="shared" ref="Q1876:Q1888" si="346">IF(P1876&gt;H1876,P1876-H1876,0)</f>
        <v>0</v>
      </c>
      <c r="R1876" s="1689">
        <f t="shared" ref="R1876:R1888" si="347">IF(H1876&gt;P1876,H1876-P1876,0)</f>
        <v>0</v>
      </c>
      <c r="S1876" s="985"/>
      <c r="T1876" s="1858">
        <f>IFERROR(HLOOKUP(B1876,pp3p1m!$1:$3,3,0),0)</f>
        <v>0</v>
      </c>
    </row>
    <row r="1877" spans="1:20" ht="22.2" hidden="1" customHeight="1">
      <c r="A1877" s="1444">
        <f>COUNTIF($C$12:C1877,"x")</f>
        <v>50</v>
      </c>
      <c r="B1877" s="1456" t="s">
        <v>383</v>
      </c>
      <c r="C1877" s="966" t="str">
        <f t="shared" si="344"/>
        <v>x</v>
      </c>
      <c r="D1877" s="1424">
        <v>6</v>
      </c>
      <c r="E1877" s="976"/>
      <c r="F1877" s="988" t="str">
        <f>VLOOKUP($B1877,DG!A:D,DG!$C$2,)</f>
        <v>Chụp đầu cực LA</v>
      </c>
      <c r="G1877" s="976" t="str">
        <f>VLOOKUP($B1877,DG!A:D,DG!$D$2,)</f>
        <v>cái</v>
      </c>
      <c r="H1877" s="1689">
        <f t="shared" si="345"/>
        <v>6</v>
      </c>
      <c r="I1877" s="1689"/>
      <c r="J1877" s="1689"/>
      <c r="K1877" s="1688">
        <f>IFERROR(HLOOKUP(B1877,pp3p1m!$1:$3,2,0),0)</f>
        <v>0</v>
      </c>
      <c r="L1877" s="1689"/>
      <c r="M1877" s="1689"/>
      <c r="N1877" s="1784"/>
      <c r="O1877" s="1689"/>
      <c r="P1877" s="1689">
        <f t="shared" si="343"/>
        <v>6</v>
      </c>
      <c r="Q1877" s="1689">
        <f t="shared" si="346"/>
        <v>0</v>
      </c>
      <c r="R1877" s="1689">
        <f t="shared" si="347"/>
        <v>0</v>
      </c>
      <c r="S1877" s="985"/>
      <c r="T1877" s="1858">
        <f>IFERROR(HLOOKUP(B1877,pp3p1m!$1:$3,3,0),0)</f>
        <v>0</v>
      </c>
    </row>
    <row r="1878" spans="1:20" ht="22.2" hidden="1" customHeight="1">
      <c r="A1878" s="1444">
        <f>COUNTIF($C$12:C1878,"x")</f>
        <v>51</v>
      </c>
      <c r="B1878" s="1456" t="s">
        <v>6539</v>
      </c>
      <c r="C1878" s="966" t="str">
        <f t="shared" si="344"/>
        <v>x</v>
      </c>
      <c r="D1878" s="1424">
        <v>7</v>
      </c>
      <c r="E1878" s="976"/>
      <c r="F1878" s="988" t="str">
        <f>VLOOKUP($B1878,DG!A:D,DG!$C$2,)</f>
        <v>Ống PVC D42x2,1mm</v>
      </c>
      <c r="G1878" s="976" t="str">
        <f>VLOOKUP($B1878,DG!A:D,DG!$D$2,)</f>
        <v>m</v>
      </c>
      <c r="H1878" s="1689">
        <f t="shared" si="345"/>
        <v>7</v>
      </c>
      <c r="I1878" s="1689"/>
      <c r="J1878" s="1689"/>
      <c r="K1878" s="1688">
        <f>IFERROR(HLOOKUP(B1878,pp3p1m!$1:$3,2,0),0)</f>
        <v>0</v>
      </c>
      <c r="L1878" s="1689"/>
      <c r="M1878" s="1689"/>
      <c r="N1878" s="1784"/>
      <c r="O1878" s="1689"/>
      <c r="P1878" s="1689">
        <f t="shared" si="343"/>
        <v>7</v>
      </c>
      <c r="Q1878" s="1689">
        <f t="shared" si="346"/>
        <v>0</v>
      </c>
      <c r="R1878" s="1689">
        <f t="shared" si="347"/>
        <v>0</v>
      </c>
      <c r="S1878" s="985"/>
      <c r="T1878" s="1858">
        <f>IFERROR(HLOOKUP(B1878,pp3p1m!$1:$3,3,0),0)</f>
        <v>0</v>
      </c>
    </row>
    <row r="1879" spans="1:20" ht="22.2" hidden="1" customHeight="1">
      <c r="A1879" s="1444">
        <f>COUNTIF($C$12:C1879,"x")</f>
        <v>52</v>
      </c>
      <c r="B1879" s="1456" t="s">
        <v>6540</v>
      </c>
      <c r="C1879" s="966" t="str">
        <f t="shared" si="344"/>
        <v>x</v>
      </c>
      <c r="D1879" s="1424">
        <v>7</v>
      </c>
      <c r="E1879" s="976"/>
      <c r="F1879" s="988" t="str">
        <f>VLOOKUP($B1879,DG!A:D,DG!$C$2,)</f>
        <v>Ống PVC D60x2,8mm</v>
      </c>
      <c r="G1879" s="976" t="str">
        <f>VLOOKUP($B1879,DG!A:D,DG!$D$2,)</f>
        <v>m</v>
      </c>
      <c r="H1879" s="1689">
        <f t="shared" si="345"/>
        <v>7</v>
      </c>
      <c r="I1879" s="1689"/>
      <c r="J1879" s="1689"/>
      <c r="K1879" s="1688">
        <f>IFERROR(HLOOKUP(B1879,pp3p1m!$1:$3,2,0),0)</f>
        <v>0</v>
      </c>
      <c r="L1879" s="1689"/>
      <c r="M1879" s="1689"/>
      <c r="N1879" s="1784"/>
      <c r="O1879" s="1689"/>
      <c r="P1879" s="1689">
        <f t="shared" si="343"/>
        <v>7</v>
      </c>
      <c r="Q1879" s="1689">
        <f t="shared" si="346"/>
        <v>0</v>
      </c>
      <c r="R1879" s="1689">
        <f t="shared" si="347"/>
        <v>0</v>
      </c>
      <c r="S1879" s="985"/>
      <c r="T1879" s="1858">
        <f>IFERROR(HLOOKUP(B1879,pp3p1m!$1:$3,3,0),0)</f>
        <v>0</v>
      </c>
    </row>
    <row r="1880" spans="1:20" ht="22.2" hidden="1" customHeight="1">
      <c r="A1880" s="1444">
        <f>COUNTIF($C$12:C1880,"x")</f>
        <v>53</v>
      </c>
      <c r="B1880" s="1456" t="s">
        <v>227</v>
      </c>
      <c r="C1880" s="966" t="str">
        <f t="shared" si="344"/>
        <v>x</v>
      </c>
      <c r="D1880" s="1424">
        <v>4</v>
      </c>
      <c r="E1880" s="976"/>
      <c r="F1880" s="988" t="str">
        <f>VLOOKUP($B1880,DG!A:D,DG!$C$2,)</f>
        <v>Côllier 25x2</v>
      </c>
      <c r="G1880" s="976" t="str">
        <f>VLOOKUP($B1880,DG!A:D,DG!$D$2,)</f>
        <v>bộ</v>
      </c>
      <c r="H1880" s="1689">
        <f t="shared" si="345"/>
        <v>4</v>
      </c>
      <c r="I1880" s="1689"/>
      <c r="J1880" s="1689"/>
      <c r="K1880" s="1688">
        <f>IFERROR(HLOOKUP(B1880,pp3p1m!$1:$3,2,0),0)</f>
        <v>0</v>
      </c>
      <c r="L1880" s="1689"/>
      <c r="M1880" s="1689"/>
      <c r="N1880" s="1784"/>
      <c r="O1880" s="1689"/>
      <c r="P1880" s="1689">
        <f t="shared" si="343"/>
        <v>4</v>
      </c>
      <c r="Q1880" s="1689">
        <f t="shared" si="346"/>
        <v>0</v>
      </c>
      <c r="R1880" s="1689">
        <f t="shared" si="347"/>
        <v>0</v>
      </c>
      <c r="S1880" s="985"/>
      <c r="T1880" s="1858">
        <f>IFERROR(HLOOKUP(B1880,pp3p1m!$1:$3,3,0),0)</f>
        <v>0</v>
      </c>
    </row>
    <row r="1881" spans="1:20" ht="22.2" hidden="1" customHeight="1">
      <c r="A1881" s="1444">
        <f>COUNTIF($C$12:C1881,"x")</f>
        <v>54</v>
      </c>
      <c r="B1881" s="1456" t="s">
        <v>6240</v>
      </c>
      <c r="C1881" s="966" t="str">
        <f t="shared" si="344"/>
        <v>x</v>
      </c>
      <c r="D1881" s="1424">
        <v>2</v>
      </c>
      <c r="E1881" s="976"/>
      <c r="F1881" s="988" t="str">
        <f>VLOOKUP($B1881,DG!A:D,DG!$C$2,)</f>
        <v>Co 90 độ PVC 42</v>
      </c>
      <c r="G1881" s="976" t="str">
        <f>VLOOKUP($B1881,DG!A:D,DG!$D$2,)</f>
        <v>cái</v>
      </c>
      <c r="H1881" s="1689">
        <f t="shared" si="345"/>
        <v>2</v>
      </c>
      <c r="I1881" s="1689"/>
      <c r="J1881" s="1689"/>
      <c r="K1881" s="1688">
        <f>IFERROR(HLOOKUP(B1881,pp3p1m!$1:$3,2,0),0)</f>
        <v>0</v>
      </c>
      <c r="L1881" s="1689"/>
      <c r="M1881" s="1689"/>
      <c r="N1881" s="1784"/>
      <c r="O1881" s="1689"/>
      <c r="P1881" s="1689">
        <f t="shared" si="343"/>
        <v>2</v>
      </c>
      <c r="Q1881" s="1689">
        <f t="shared" si="346"/>
        <v>0</v>
      </c>
      <c r="R1881" s="1689">
        <f t="shared" si="347"/>
        <v>0</v>
      </c>
      <c r="S1881" s="985"/>
      <c r="T1881" s="1858">
        <f>IFERROR(HLOOKUP(B1881,pp3p1m!$1:$3,3,0),0)</f>
        <v>0</v>
      </c>
    </row>
    <row r="1882" spans="1:20" ht="22.2" hidden="1" customHeight="1">
      <c r="A1882" s="1444">
        <f>COUNTIF($C$12:C1882,"x")</f>
        <v>55</v>
      </c>
      <c r="B1882" s="1456" t="s">
        <v>1465</v>
      </c>
      <c r="C1882" s="966" t="str">
        <f t="shared" si="344"/>
        <v>x</v>
      </c>
      <c r="D1882" s="1424">
        <v>2</v>
      </c>
      <c r="E1882" s="976"/>
      <c r="F1882" s="988" t="str">
        <f>VLOOKUP($B1882,DG!A:D,DG!$C$2,)</f>
        <v>Co 90 độ PVC 60</v>
      </c>
      <c r="G1882" s="976" t="str">
        <f>VLOOKUP($B1882,DG!A:D,DG!$D$2,)</f>
        <v>cái</v>
      </c>
      <c r="H1882" s="1689">
        <f t="shared" si="345"/>
        <v>2</v>
      </c>
      <c r="I1882" s="1689"/>
      <c r="J1882" s="1689"/>
      <c r="K1882" s="1688">
        <f>IFERROR(HLOOKUP(B1882,pp3p1m!$1:$3,2,0),0)</f>
        <v>0</v>
      </c>
      <c r="L1882" s="1689"/>
      <c r="M1882" s="1689"/>
      <c r="N1882" s="1784"/>
      <c r="O1882" s="1689"/>
      <c r="P1882" s="1689">
        <f t="shared" si="343"/>
        <v>2</v>
      </c>
      <c r="Q1882" s="1689">
        <f t="shared" si="346"/>
        <v>0</v>
      </c>
      <c r="R1882" s="1689">
        <f t="shared" si="347"/>
        <v>0</v>
      </c>
      <c r="S1882" s="985"/>
      <c r="T1882" s="1858">
        <f>IFERROR(HLOOKUP(B1882,pp3p1m!$1:$3,3,0),0)</f>
        <v>0</v>
      </c>
    </row>
    <row r="1883" spans="1:20" ht="22.2" hidden="1" customHeight="1">
      <c r="A1883" s="1444">
        <f>COUNTIF($C$12:C1883,"x")</f>
        <v>56</v>
      </c>
      <c r="B1883" s="1456" t="s">
        <v>4840</v>
      </c>
      <c r="C1883" s="966" t="str">
        <f t="shared" si="344"/>
        <v>x</v>
      </c>
      <c r="D1883" s="1424">
        <v>1</v>
      </c>
      <c r="E1883" s="976"/>
      <c r="F1883" s="988" t="str">
        <f>VLOOKUP($B1883,DG!A:D,DG!$C$2,)</f>
        <v>Cổ dê bắt tủ trạm trụ ghép D320/60x6</v>
      </c>
      <c r="G1883" s="976" t="str">
        <f>VLOOKUP($B1883,DG!A:D,DG!$D$2,)</f>
        <v>bộ</v>
      </c>
      <c r="H1883" s="1689">
        <f t="shared" si="345"/>
        <v>1</v>
      </c>
      <c r="I1883" s="1689"/>
      <c r="J1883" s="1689"/>
      <c r="K1883" s="1688">
        <f>IFERROR(HLOOKUP(B1883,pp3p1m!$1:$3,2,0),0)</f>
        <v>0</v>
      </c>
      <c r="L1883" s="1689"/>
      <c r="M1883" s="1689"/>
      <c r="N1883" s="1784"/>
      <c r="O1883" s="1689"/>
      <c r="P1883" s="1689">
        <f t="shared" si="343"/>
        <v>1</v>
      </c>
      <c r="Q1883" s="1689">
        <f t="shared" si="346"/>
        <v>0</v>
      </c>
      <c r="R1883" s="1689">
        <f t="shared" si="347"/>
        <v>0</v>
      </c>
      <c r="S1883" s="985"/>
      <c r="T1883" s="1858">
        <f>IFERROR(HLOOKUP(B1883,pp3p1m!$1:$3,3,0),0)</f>
        <v>0</v>
      </c>
    </row>
    <row r="1884" spans="1:20" ht="22.2" hidden="1" customHeight="1">
      <c r="A1884" s="1444">
        <f>COUNTIF($C$12:C1884,"x")</f>
        <v>57</v>
      </c>
      <c r="B1884" s="1456" t="s">
        <v>1185</v>
      </c>
      <c r="C1884" s="966" t="str">
        <f t="shared" si="344"/>
        <v>x</v>
      </c>
      <c r="D1884" s="1424">
        <v>5</v>
      </c>
      <c r="E1884" s="976"/>
      <c r="F1884" s="988" t="str">
        <f>VLOOKUP($B1884,DG!A:D,DG!$C$2,)</f>
        <v>Boulon 16x350+ 2 long đền vuông D18-50x50x3/Zn</v>
      </c>
      <c r="G1884" s="976" t="str">
        <f>VLOOKUP($B1884,DG!A:D,DG!$D$2,)</f>
        <v>bộ</v>
      </c>
      <c r="H1884" s="1689">
        <f t="shared" si="345"/>
        <v>5</v>
      </c>
      <c r="I1884" s="1689"/>
      <c r="J1884" s="1689"/>
      <c r="K1884" s="1688">
        <f>IFERROR(HLOOKUP(B1884,pp3p1m!$1:$3,2,0),0)</f>
        <v>0</v>
      </c>
      <c r="L1884" s="1689"/>
      <c r="M1884" s="1689"/>
      <c r="N1884" s="1784"/>
      <c r="O1884" s="1689"/>
      <c r="P1884" s="1689">
        <f t="shared" si="343"/>
        <v>5</v>
      </c>
      <c r="Q1884" s="1689">
        <f t="shared" si="346"/>
        <v>0</v>
      </c>
      <c r="R1884" s="1689">
        <f t="shared" si="347"/>
        <v>0</v>
      </c>
      <c r="S1884" s="985"/>
      <c r="T1884" s="1858">
        <f>IFERROR(HLOOKUP(B1884,pp3p1m!$1:$3,3,0),0)</f>
        <v>0</v>
      </c>
    </row>
    <row r="1885" spans="1:20" ht="22.2" hidden="1" customHeight="1">
      <c r="A1885" s="1444">
        <f>COUNTIF($C$12:C1885,"x")</f>
        <v>58</v>
      </c>
      <c r="B1885" s="1456" t="s">
        <v>6541</v>
      </c>
      <c r="C1885" s="966" t="str">
        <f t="shared" si="344"/>
        <v>x</v>
      </c>
      <c r="D1885" s="1424">
        <v>6</v>
      </c>
      <c r="E1885" s="976"/>
      <c r="F1885" s="988" t="str">
        <f>VLOOKUP($B1885,DG!A:D,DG!$C$2,)</f>
        <v>Boulon 16x80+ 2 long đền vuông D18-50x50x3/Zn</v>
      </c>
      <c r="G1885" s="976" t="str">
        <f>VLOOKUP($B1885,DG!A:D,DG!$D$2,)</f>
        <v>bộ</v>
      </c>
      <c r="H1885" s="1689">
        <f t="shared" si="345"/>
        <v>6</v>
      </c>
      <c r="I1885" s="1689"/>
      <c r="J1885" s="1689"/>
      <c r="K1885" s="1688">
        <f>IFERROR(HLOOKUP(B1885,pp3p1m!$1:$3,2,0),0)</f>
        <v>0</v>
      </c>
      <c r="L1885" s="1689"/>
      <c r="M1885" s="1689"/>
      <c r="N1885" s="1784"/>
      <c r="O1885" s="1689"/>
      <c r="P1885" s="1689">
        <f t="shared" si="343"/>
        <v>6</v>
      </c>
      <c r="Q1885" s="1689">
        <f t="shared" si="346"/>
        <v>0</v>
      </c>
      <c r="R1885" s="1689">
        <f t="shared" si="347"/>
        <v>0</v>
      </c>
      <c r="S1885" s="985"/>
      <c r="T1885" s="1858">
        <f>IFERROR(HLOOKUP(B1885,pp3p1m!$1:$3,3,0),0)</f>
        <v>0</v>
      </c>
    </row>
    <row r="1886" spans="1:20" ht="22.2" hidden="1" customHeight="1">
      <c r="A1886" s="1444">
        <f>COUNTIF($C$12:C1886,"x")</f>
        <v>59</v>
      </c>
      <c r="B1886" s="1456" t="s">
        <v>6544</v>
      </c>
      <c r="C1886" s="966" t="str">
        <f t="shared" si="344"/>
        <v>x</v>
      </c>
      <c r="D1886" s="1424">
        <v>6</v>
      </c>
      <c r="E1886" s="976"/>
      <c r="F1886" s="988" t="str">
        <f>VLOOKUP($B1886,DG!A:D,DG!$C$2,)</f>
        <v>Boulon 16x50+ 2 long đền vuông D18-50x50x3/Zn</v>
      </c>
      <c r="G1886" s="976" t="str">
        <f>VLOOKUP($B1886,DG!A:D,DG!$D$2,)</f>
        <v>bộ</v>
      </c>
      <c r="H1886" s="1689">
        <f t="shared" si="345"/>
        <v>6</v>
      </c>
      <c r="I1886" s="1689"/>
      <c r="J1886" s="1689"/>
      <c r="K1886" s="1688">
        <f>IFERROR(HLOOKUP(B1886,pp3p1m!$1:$3,2,0),0)</f>
        <v>0</v>
      </c>
      <c r="L1886" s="1689"/>
      <c r="M1886" s="1689"/>
      <c r="N1886" s="1784"/>
      <c r="O1886" s="1689"/>
      <c r="P1886" s="1689">
        <f t="shared" si="343"/>
        <v>6</v>
      </c>
      <c r="Q1886" s="1689">
        <f t="shared" si="346"/>
        <v>0</v>
      </c>
      <c r="R1886" s="1689">
        <f t="shared" si="347"/>
        <v>0</v>
      </c>
      <c r="S1886" s="985"/>
      <c r="T1886" s="1858">
        <f>IFERROR(HLOOKUP(B1886,pp3p1m!$1:$3,3,0),0)</f>
        <v>0</v>
      </c>
    </row>
    <row r="1887" spans="1:20" ht="22.2" hidden="1" customHeight="1">
      <c r="A1887" s="1444">
        <f>COUNTIF($C$12:C1887,"x")</f>
        <v>59</v>
      </c>
      <c r="B1887" s="1456"/>
      <c r="C1887" s="966" t="str">
        <f t="shared" si="344"/>
        <v/>
      </c>
      <c r="D1887" s="1424">
        <f t="shared" ref="D1887:D1888" si="348">K1887</f>
        <v>0</v>
      </c>
      <c r="E1887" s="976"/>
      <c r="F1887" s="988" t="e">
        <f>VLOOKUP($B1887,DG!A:D,DG!$C$2,)</f>
        <v>#N/A</v>
      </c>
      <c r="G1887" s="976" t="e">
        <f>VLOOKUP($B1887,DG!A:D,DG!$D$2,)</f>
        <v>#N/A</v>
      </c>
      <c r="H1887" s="1689">
        <f t="shared" si="345"/>
        <v>0</v>
      </c>
      <c r="I1887" s="1689"/>
      <c r="J1887" s="1689"/>
      <c r="K1887" s="1688">
        <f>IFERROR(HLOOKUP(B1887,pp3p1m!$1:$3,2,0),0)</f>
        <v>0</v>
      </c>
      <c r="L1887" s="1689"/>
      <c r="M1887" s="1689"/>
      <c r="N1887" s="1784"/>
      <c r="O1887" s="1689"/>
      <c r="P1887" s="1784">
        <f t="shared" ref="P1887:P1888" si="349">T1887</f>
        <v>0</v>
      </c>
      <c r="Q1887" s="1689">
        <f t="shared" si="346"/>
        <v>0</v>
      </c>
      <c r="R1887" s="1689">
        <f t="shared" si="347"/>
        <v>0</v>
      </c>
      <c r="S1887" s="985"/>
      <c r="T1887" s="1858">
        <f>IFERROR(HLOOKUP(B1887,pp3p1m!$1:$3,3,0),0)</f>
        <v>0</v>
      </c>
    </row>
    <row r="1888" spans="1:20" ht="22.2" hidden="1" customHeight="1">
      <c r="A1888" s="1444">
        <f>COUNTIF($C$12:C1888,"x")</f>
        <v>59</v>
      </c>
      <c r="B1888" s="1456"/>
      <c r="C1888" s="966" t="str">
        <f t="shared" si="344"/>
        <v/>
      </c>
      <c r="D1888" s="1424">
        <f t="shared" si="348"/>
        <v>0</v>
      </c>
      <c r="E1888" s="976"/>
      <c r="F1888" s="988" t="e">
        <f>VLOOKUP($B1888,DG!A:D,DG!$C$2,)</f>
        <v>#N/A</v>
      </c>
      <c r="G1888" s="976" t="e">
        <f>VLOOKUP($B1888,DG!A:D,DG!$D$2,)</f>
        <v>#N/A</v>
      </c>
      <c r="H1888" s="1689">
        <f t="shared" si="345"/>
        <v>0</v>
      </c>
      <c r="I1888" s="1689"/>
      <c r="J1888" s="1689"/>
      <c r="K1888" s="1688">
        <f>IFERROR(HLOOKUP(B1888,pp3p1m!$1:$3,2,0),0)</f>
        <v>0</v>
      </c>
      <c r="L1888" s="1689"/>
      <c r="M1888" s="1689"/>
      <c r="N1888" s="1784"/>
      <c r="O1888" s="1689"/>
      <c r="P1888" s="1784">
        <f t="shared" si="349"/>
        <v>0</v>
      </c>
      <c r="Q1888" s="1689">
        <f t="shared" si="346"/>
        <v>0</v>
      </c>
      <c r="R1888" s="1689">
        <f t="shared" si="347"/>
        <v>0</v>
      </c>
      <c r="S1888" s="985"/>
      <c r="T1888" s="1858">
        <f>IFERROR(HLOOKUP(B1888,pp3p1m!$1:$3,3,0),0)</f>
        <v>0</v>
      </c>
    </row>
    <row r="1889" spans="1:20" ht="22.2" hidden="1" customHeight="1">
      <c r="A1889" s="1444">
        <f>COUNTIF($C$12:C1889,"x")</f>
        <v>59</v>
      </c>
      <c r="B1889" s="1456"/>
      <c r="C1889" s="966" t="str">
        <f t="shared" si="337"/>
        <v/>
      </c>
      <c r="D1889" s="1424">
        <f t="shared" si="338"/>
        <v>0</v>
      </c>
      <c r="E1889" s="976"/>
      <c r="F1889" s="988" t="e">
        <f>VLOOKUP($B1889,DG!A:D,DG!$C$2,)</f>
        <v>#N/A</v>
      </c>
      <c r="G1889" s="976" t="e">
        <f>VLOOKUP($B1889,DG!A:D,DG!$D$2,)</f>
        <v>#N/A</v>
      </c>
      <c r="H1889" s="1689">
        <f t="shared" si="342"/>
        <v>0</v>
      </c>
      <c r="I1889" s="1689"/>
      <c r="J1889" s="1689"/>
      <c r="K1889" s="1688">
        <f>IFERROR(HLOOKUP(B1889,pp3p1m!$1:$3,2,0),0)</f>
        <v>0</v>
      </c>
      <c r="L1889" s="1689"/>
      <c r="M1889" s="1689"/>
      <c r="N1889" s="1784"/>
      <c r="O1889" s="1689"/>
      <c r="P1889" s="1784">
        <f t="shared" si="339"/>
        <v>0</v>
      </c>
      <c r="Q1889" s="1689">
        <f t="shared" si="340"/>
        <v>0</v>
      </c>
      <c r="R1889" s="1689">
        <f t="shared" si="341"/>
        <v>0</v>
      </c>
      <c r="S1889" s="985"/>
      <c r="T1889" s="1858">
        <f>IFERROR(HLOOKUP(B1889,pp3p1m!$1:$3,3,0),0)</f>
        <v>0</v>
      </c>
    </row>
    <row r="1890" spans="1:20" ht="22.2" hidden="1" customHeight="1">
      <c r="A1890" s="1444">
        <f>COUNTIF($C$12:C1890,"x")</f>
        <v>59</v>
      </c>
      <c r="B1890" s="1456" t="s">
        <v>1144</v>
      </c>
      <c r="C1890" s="966" t="str">
        <f>IF(OR(P1890&lt;&gt;0,H1890&lt;&gt;0),"x","")</f>
        <v/>
      </c>
      <c r="D1890" s="1424">
        <f t="shared" si="336"/>
        <v>0</v>
      </c>
      <c r="E1890" s="976"/>
      <c r="F1890" s="988" t="str">
        <f>VLOOKUP($B1890,DG!A:D,DG!$C$2,)</f>
        <v>Khóa đỡ dây cỡ dây 240</v>
      </c>
      <c r="G1890" s="976" t="str">
        <f>VLOOKUP($B1890,DG!A:D,DG!$D$2,)</f>
        <v>cái</v>
      </c>
      <c r="H1890" s="1689">
        <f t="shared" si="342"/>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2" hidden="1" customHeight="1">
      <c r="A1891" s="1444">
        <f>COUNTIF($C$12:C1891,"x")</f>
        <v>59</v>
      </c>
      <c r="B1891" s="1456" t="s">
        <v>1143</v>
      </c>
      <c r="C1891" s="966" t="str">
        <f t="shared" si="324"/>
        <v xml:space="preserve"> </v>
      </c>
      <c r="D1891" s="1424">
        <f t="shared" si="336"/>
        <v>0</v>
      </c>
      <c r="E1891" s="976"/>
      <c r="F1891" s="988" t="str">
        <f>VLOOKUP($B1891,DG!A:D,DG!$C$2,)</f>
        <v>Khóa đỡ dây cỡ dây 185</v>
      </c>
      <c r="G1891" s="976" t="str">
        <f>VLOOKUP($B1891,DG!A:D,DG!$D$2,)</f>
        <v>cái</v>
      </c>
      <c r="H1891" s="1689">
        <f t="shared" si="342"/>
        <v>0</v>
      </c>
      <c r="I1891" s="1689"/>
      <c r="J1891" s="1689"/>
      <c r="K1891" s="1688">
        <f>IFERROR(HLOOKUP(B1891,pp3p1m!$1:$3,2,0),0)</f>
        <v>0</v>
      </c>
      <c r="L1891" s="1689"/>
      <c r="M1891" s="1689"/>
      <c r="N1891" s="1689"/>
      <c r="O1891" s="1689"/>
      <c r="P1891" s="1784">
        <f t="shared" ref="P1891:P1948" si="350">T1891</f>
        <v>0</v>
      </c>
      <c r="Q1891" s="1689">
        <f t="shared" ref="Q1891:Q1948" si="351">IF(P1891&gt;H1891,P1891-H1891,0)</f>
        <v>0</v>
      </c>
      <c r="R1891" s="1689">
        <f t="shared" ref="R1891:R1948" si="352">IF(H1891&gt;P1891,H1891-P1891,0)</f>
        <v>0</v>
      </c>
      <c r="S1891" s="985"/>
      <c r="T1891" s="1858">
        <f>IFERROR(HLOOKUP(B1891,pp3p1m!$1:$3,3,0),0)</f>
        <v>0</v>
      </c>
    </row>
    <row r="1892" spans="1:20" ht="22.2" hidden="1" customHeight="1">
      <c r="A1892" s="1444">
        <f>COUNTIF($C$12:C1892,"x")</f>
        <v>59</v>
      </c>
      <c r="B1892" s="1456" t="s">
        <v>1142</v>
      </c>
      <c r="C1892" s="966" t="str">
        <f t="shared" si="324"/>
        <v xml:space="preserve"> </v>
      </c>
      <c r="D1892" s="1424">
        <f t="shared" si="336"/>
        <v>0</v>
      </c>
      <c r="E1892" s="976"/>
      <c r="F1892" s="988" t="str">
        <f>VLOOKUP($B1892,DG!A:D,DG!$C$2,)</f>
        <v>Khóa đỡ dây cỡ dây 150</v>
      </c>
      <c r="G1892" s="976" t="str">
        <f>VLOOKUP($B1892,DG!A:D,DG!$D$2,)</f>
        <v>cái</v>
      </c>
      <c r="H1892" s="1689">
        <f t="shared" si="342"/>
        <v>0</v>
      </c>
      <c r="I1892" s="1689"/>
      <c r="J1892" s="1689"/>
      <c r="K1892" s="1688">
        <f>IFERROR(HLOOKUP(B1892,pp3p1m!$1:$3,2,0),0)</f>
        <v>0</v>
      </c>
      <c r="L1892" s="1689"/>
      <c r="M1892" s="1689"/>
      <c r="N1892" s="1689"/>
      <c r="O1892" s="1689"/>
      <c r="P1892" s="1784">
        <f t="shared" si="350"/>
        <v>0</v>
      </c>
      <c r="Q1892" s="1689">
        <f t="shared" si="351"/>
        <v>0</v>
      </c>
      <c r="R1892" s="1689">
        <f t="shared" si="352"/>
        <v>0</v>
      </c>
      <c r="S1892" s="985"/>
      <c r="T1892" s="1858">
        <f>IFERROR(HLOOKUP(B1892,pp3p1m!$1:$3,3,0),0)</f>
        <v>0</v>
      </c>
    </row>
    <row r="1893" spans="1:20" ht="22.2" hidden="1" customHeight="1">
      <c r="A1893" s="1444">
        <f>COUNTIF($C$12:C1893,"x")</f>
        <v>59</v>
      </c>
      <c r="B1893" s="1456" t="s">
        <v>1141</v>
      </c>
      <c r="C1893" s="966" t="str">
        <f t="shared" si="324"/>
        <v xml:space="preserve"> </v>
      </c>
      <c r="D1893" s="1424">
        <f t="shared" si="336"/>
        <v>0</v>
      </c>
      <c r="E1893" s="976"/>
      <c r="F1893" s="988" t="str">
        <f>VLOOKUP($B1893,DG!A:D,DG!$C$2,)</f>
        <v>Khóa đỡ dây cỡ dây 120</v>
      </c>
      <c r="G1893" s="976" t="str">
        <f>VLOOKUP($B1893,DG!A:D,DG!$D$2,)</f>
        <v>cái</v>
      </c>
      <c r="H1893" s="1689">
        <f t="shared" si="342"/>
        <v>0</v>
      </c>
      <c r="I1893" s="1689"/>
      <c r="J1893" s="1689"/>
      <c r="K1893" s="1688">
        <f>IFERROR(HLOOKUP(B1893,pp3p1m!$1:$3,2,0),0)</f>
        <v>0</v>
      </c>
      <c r="L1893" s="1689"/>
      <c r="M1893" s="1689"/>
      <c r="N1893" s="1689"/>
      <c r="O1893" s="1689"/>
      <c r="P1893" s="1784">
        <f t="shared" si="350"/>
        <v>0</v>
      </c>
      <c r="Q1893" s="1689">
        <f t="shared" si="351"/>
        <v>0</v>
      </c>
      <c r="R1893" s="1689">
        <f t="shared" si="352"/>
        <v>0</v>
      </c>
      <c r="S1893" s="985"/>
      <c r="T1893" s="1858">
        <f>IFERROR(HLOOKUP(B1893,pp3p1m!$1:$3,3,0),0)</f>
        <v>0</v>
      </c>
    </row>
    <row r="1894" spans="1:20" ht="22.2" hidden="1" customHeight="1">
      <c r="A1894" s="1444">
        <f>COUNTIF($C$12:C1894,"x")</f>
        <v>59</v>
      </c>
      <c r="B1894" s="1456" t="s">
        <v>101</v>
      </c>
      <c r="C1894" s="966" t="str">
        <f t="shared" si="324"/>
        <v xml:space="preserve"> </v>
      </c>
      <c r="D1894" s="1424">
        <f t="shared" si="336"/>
        <v>0</v>
      </c>
      <c r="E1894" s="976"/>
      <c r="F1894" s="988" t="str">
        <f>VLOOKUP($B1894,DG!A:D,DG!$C$2,)</f>
        <v>Khóa đỡ dây cỡ dây 95</v>
      </c>
      <c r="G1894" s="976" t="str">
        <f>VLOOKUP($B1894,DG!A:D,DG!$D$2,)</f>
        <v>cái</v>
      </c>
      <c r="H1894" s="1689">
        <f t="shared" si="342"/>
        <v>0</v>
      </c>
      <c r="I1894" s="1689"/>
      <c r="J1894" s="1689"/>
      <c r="K1894" s="1688">
        <f>IFERROR(HLOOKUP(B1894,pp3p1m!$1:$3,2,0),0)</f>
        <v>0</v>
      </c>
      <c r="L1894" s="1689"/>
      <c r="M1894" s="1689"/>
      <c r="N1894" s="1689"/>
      <c r="O1894" s="1689"/>
      <c r="P1894" s="1784">
        <f t="shared" si="350"/>
        <v>0</v>
      </c>
      <c r="Q1894" s="1689">
        <f t="shared" si="351"/>
        <v>0</v>
      </c>
      <c r="R1894" s="1689">
        <f t="shared" si="352"/>
        <v>0</v>
      </c>
      <c r="S1894" s="985"/>
      <c r="T1894" s="1858">
        <f>IFERROR(HLOOKUP(B1894,pp3p1m!$1:$3,3,0),0)</f>
        <v>0</v>
      </c>
    </row>
    <row r="1895" spans="1:20" ht="22.2" hidden="1" customHeight="1">
      <c r="A1895" s="1444">
        <f>COUNTIF($C$12:C1895,"x")</f>
        <v>59</v>
      </c>
      <c r="B1895" s="1456" t="s">
        <v>1481</v>
      </c>
      <c r="C1895" s="966" t="str">
        <f t="shared" si="324"/>
        <v xml:space="preserve"> </v>
      </c>
      <c r="D1895" s="1424">
        <f t="shared" si="336"/>
        <v>0</v>
      </c>
      <c r="E1895" s="976"/>
      <c r="F1895" s="988" t="str">
        <f>VLOOKUP($B1895,DG!A:D,DG!$C$2,)</f>
        <v>Khóa đỡ dây cỡ dây 70</v>
      </c>
      <c r="G1895" s="976" t="str">
        <f>VLOOKUP($B1895,DG!A:D,DG!$D$2,)</f>
        <v>cái</v>
      </c>
      <c r="H1895" s="1689">
        <f t="shared" si="342"/>
        <v>0</v>
      </c>
      <c r="I1895" s="1689"/>
      <c r="J1895" s="1689"/>
      <c r="K1895" s="1688">
        <f>IFERROR(HLOOKUP(B1895,pp3p1m!$1:$3,2,0),0)</f>
        <v>0</v>
      </c>
      <c r="L1895" s="1689"/>
      <c r="M1895" s="1689"/>
      <c r="N1895" s="1689"/>
      <c r="O1895" s="1689"/>
      <c r="P1895" s="1784">
        <f t="shared" si="350"/>
        <v>0</v>
      </c>
      <c r="Q1895" s="1689">
        <f t="shared" si="351"/>
        <v>0</v>
      </c>
      <c r="R1895" s="1689">
        <f t="shared" si="352"/>
        <v>0</v>
      </c>
      <c r="S1895" s="985"/>
      <c r="T1895" s="1858">
        <f>IFERROR(HLOOKUP(B1895,pp3p1m!$1:$3,3,0),0)</f>
        <v>0</v>
      </c>
    </row>
    <row r="1896" spans="1:20" ht="22.2" hidden="1" customHeight="1">
      <c r="A1896" s="1444">
        <f>COUNTIF($C$12:C1896,"x")</f>
        <v>59</v>
      </c>
      <c r="B1896" s="1456" t="s">
        <v>1175</v>
      </c>
      <c r="C1896" s="966" t="str">
        <f t="shared" si="324"/>
        <v xml:space="preserve"> </v>
      </c>
      <c r="D1896" s="1424">
        <f t="shared" si="336"/>
        <v>0</v>
      </c>
      <c r="E1896" s="976"/>
      <c r="F1896" s="988" t="str">
        <f>VLOOKUP($B1896,DG!A:D,DG!$C$2,)</f>
        <v>Khóa đỡ dây cỡ dây 50</v>
      </c>
      <c r="G1896" s="976" t="str">
        <f>VLOOKUP($B1896,DG!A:D,DG!$D$2,)</f>
        <v>cái</v>
      </c>
      <c r="H1896" s="1689">
        <f t="shared" si="342"/>
        <v>0</v>
      </c>
      <c r="I1896" s="1689"/>
      <c r="J1896" s="1689"/>
      <c r="K1896" s="1688">
        <f>IFERROR(HLOOKUP(B1896,pp3p1m!$1:$3,2,0),0)</f>
        <v>0</v>
      </c>
      <c r="L1896" s="1689"/>
      <c r="M1896" s="1689"/>
      <c r="N1896" s="1689"/>
      <c r="O1896" s="1689"/>
      <c r="P1896" s="1784">
        <f t="shared" si="350"/>
        <v>0</v>
      </c>
      <c r="Q1896" s="1689">
        <f t="shared" si="351"/>
        <v>0</v>
      </c>
      <c r="R1896" s="1689">
        <f t="shared" si="352"/>
        <v>0</v>
      </c>
      <c r="S1896" s="985"/>
      <c r="T1896" s="1858">
        <f>IFERROR(HLOOKUP(B1896,pp3p1m!$1:$3,3,0),0)</f>
        <v>0</v>
      </c>
    </row>
    <row r="1897" spans="1:20" ht="22.2" hidden="1" customHeight="1">
      <c r="A1897" s="1444">
        <f>COUNTIF($C$12:C1897,"x")</f>
        <v>59</v>
      </c>
      <c r="B1897" s="1456" t="s">
        <v>1741</v>
      </c>
      <c r="C1897" s="966" t="str">
        <f t="shared" si="324"/>
        <v xml:space="preserve"> </v>
      </c>
      <c r="D1897" s="1424">
        <f t="shared" si="336"/>
        <v>0</v>
      </c>
      <c r="E1897" s="976"/>
      <c r="F1897" s="988" t="str">
        <f>VLOOKUP($B1897,DG!A:D,DG!$C$2,)</f>
        <v>Khóa néo dây cỡ dây 240</v>
      </c>
      <c r="G1897" s="976" t="str">
        <f>VLOOKUP($B1897,DG!A:D,DG!$D$2,)</f>
        <v>cái</v>
      </c>
      <c r="H1897" s="1689">
        <f t="shared" si="342"/>
        <v>0</v>
      </c>
      <c r="I1897" s="1689"/>
      <c r="J1897" s="1689"/>
      <c r="K1897" s="1688">
        <f>IFERROR(HLOOKUP(B1897,pp3p1m!$1:$3,2,0),0)</f>
        <v>0</v>
      </c>
      <c r="L1897" s="1689"/>
      <c r="M1897" s="1689"/>
      <c r="N1897" s="1689"/>
      <c r="O1897" s="1689"/>
      <c r="P1897" s="1784">
        <f t="shared" si="350"/>
        <v>0</v>
      </c>
      <c r="Q1897" s="1689">
        <f t="shared" si="351"/>
        <v>0</v>
      </c>
      <c r="R1897" s="1689">
        <f t="shared" si="352"/>
        <v>0</v>
      </c>
      <c r="S1897" s="985"/>
      <c r="T1897" s="1858">
        <f>IFERROR(HLOOKUP(B1897,pp3p1m!$1:$3,3,0),0)</f>
        <v>0</v>
      </c>
    </row>
    <row r="1898" spans="1:20" ht="22.2" hidden="1" customHeight="1">
      <c r="A1898" s="1444">
        <f>COUNTIF($C$12:C1898,"x")</f>
        <v>59</v>
      </c>
      <c r="B1898" s="1456" t="s">
        <v>904</v>
      </c>
      <c r="C1898" s="966" t="str">
        <f t="shared" si="324"/>
        <v xml:space="preserve"> </v>
      </c>
      <c r="D1898" s="1424">
        <f t="shared" si="336"/>
        <v>0</v>
      </c>
      <c r="E1898" s="976"/>
      <c r="F1898" s="988" t="str">
        <f>VLOOKUP($B1898,DG!A:D,DG!$C$2,)</f>
        <v>Khóa néo dây cỡ dây 50</v>
      </c>
      <c r="G1898" s="976" t="str">
        <f>VLOOKUP($B1898,DG!A:D,DG!$D$2,)</f>
        <v>cái</v>
      </c>
      <c r="H1898" s="1689">
        <f t="shared" si="342"/>
        <v>0</v>
      </c>
      <c r="I1898" s="1689"/>
      <c r="J1898" s="1689"/>
      <c r="K1898" s="1688">
        <f>IFERROR(HLOOKUP(B1898,pp3p1m!$1:$3,2,0),0)</f>
        <v>0</v>
      </c>
      <c r="L1898" s="1689"/>
      <c r="M1898" s="1689"/>
      <c r="N1898" s="1689"/>
      <c r="O1898" s="1689"/>
      <c r="P1898" s="1784">
        <f t="shared" si="350"/>
        <v>0</v>
      </c>
      <c r="Q1898" s="1689">
        <f t="shared" si="351"/>
        <v>0</v>
      </c>
      <c r="R1898" s="1689">
        <f t="shared" si="352"/>
        <v>0</v>
      </c>
      <c r="S1898" s="985"/>
      <c r="T1898" s="1858">
        <f>IFERROR(HLOOKUP(B1898,pp3p1m!$1:$3,3,0),0)</f>
        <v>0</v>
      </c>
    </row>
    <row r="1899" spans="1:20" ht="22.2" hidden="1" customHeight="1">
      <c r="A1899" s="1444">
        <f>COUNTIF($C$12:C1899,"x")</f>
        <v>59</v>
      </c>
      <c r="B1899" s="1456" t="s">
        <v>2109</v>
      </c>
      <c r="C1899" s="966" t="str">
        <f t="shared" si="324"/>
        <v xml:space="preserve"> </v>
      </c>
      <c r="D1899" s="1424">
        <f t="shared" si="336"/>
        <v>0</v>
      </c>
      <c r="E1899" s="976"/>
      <c r="F1899" s="988" t="str">
        <f>VLOOKUP($B1899,DG!A:D,DG!$C$2,)</f>
        <v>Khóa néo dây cỡ dây 150</v>
      </c>
      <c r="G1899" s="976" t="str">
        <f>VLOOKUP($B1899,DG!A:D,DG!$D$2,)</f>
        <v>cái</v>
      </c>
      <c r="H1899" s="1689">
        <f t="shared" si="342"/>
        <v>0</v>
      </c>
      <c r="I1899" s="1689"/>
      <c r="J1899" s="1689"/>
      <c r="K1899" s="1688">
        <f>IFERROR(HLOOKUP(B1899,pp3p1m!$1:$3,2,0),0)</f>
        <v>0</v>
      </c>
      <c r="L1899" s="1689"/>
      <c r="M1899" s="1689"/>
      <c r="N1899" s="1689"/>
      <c r="O1899" s="1689"/>
      <c r="P1899" s="1784">
        <f t="shared" si="350"/>
        <v>0</v>
      </c>
      <c r="Q1899" s="1689">
        <f t="shared" si="351"/>
        <v>0</v>
      </c>
      <c r="R1899" s="1689">
        <f t="shared" si="352"/>
        <v>0</v>
      </c>
      <c r="S1899" s="985"/>
      <c r="T1899" s="1858">
        <f>IFERROR(HLOOKUP(B1899,pp3p1m!$1:$3,3,0),0)</f>
        <v>0</v>
      </c>
    </row>
    <row r="1900" spans="1:20" ht="22.2" hidden="1" customHeight="1">
      <c r="A1900" s="1444">
        <f>COUNTIF($C$12:C1900,"x")</f>
        <v>59</v>
      </c>
      <c r="B1900" s="1456" t="s">
        <v>431</v>
      </c>
      <c r="C1900" s="966" t="str">
        <f t="shared" si="324"/>
        <v xml:space="preserve"> </v>
      </c>
      <c r="D1900" s="1424">
        <f t="shared" si="336"/>
        <v>0</v>
      </c>
      <c r="E1900" s="976"/>
      <c r="F1900" s="988" t="str">
        <f>VLOOKUP($B1900,DG!A:D,DG!$C$2,)</f>
        <v>Khóa néo dây cỡ dây 120</v>
      </c>
      <c r="G1900" s="976" t="str">
        <f>VLOOKUP($B1900,DG!A:D,DG!$D$2,)</f>
        <v>cái</v>
      </c>
      <c r="H1900" s="1689">
        <f t="shared" si="342"/>
        <v>0</v>
      </c>
      <c r="I1900" s="1689"/>
      <c r="J1900" s="1689"/>
      <c r="K1900" s="1688">
        <f>IFERROR(HLOOKUP(B1900,pp3p1m!$1:$3,2,0),0)</f>
        <v>0</v>
      </c>
      <c r="L1900" s="1689"/>
      <c r="M1900" s="1689"/>
      <c r="N1900" s="1689"/>
      <c r="O1900" s="1689"/>
      <c r="P1900" s="1784">
        <f t="shared" si="350"/>
        <v>0</v>
      </c>
      <c r="Q1900" s="1689">
        <f t="shared" si="351"/>
        <v>0</v>
      </c>
      <c r="R1900" s="1689">
        <f t="shared" si="352"/>
        <v>0</v>
      </c>
      <c r="S1900" s="985"/>
      <c r="T1900" s="1858">
        <f>IFERROR(HLOOKUP(B1900,pp3p1m!$1:$3,3,0),0)</f>
        <v>0</v>
      </c>
    </row>
    <row r="1901" spans="1:20" ht="22.2" hidden="1" customHeight="1">
      <c r="A1901" s="1444">
        <f>COUNTIF($C$12:C1901,"x")</f>
        <v>59</v>
      </c>
      <c r="B1901" s="1456" t="s">
        <v>1257</v>
      </c>
      <c r="C1901" s="966" t="str">
        <f t="shared" si="324"/>
        <v xml:space="preserve"> </v>
      </c>
      <c r="D1901" s="1424">
        <f t="shared" si="336"/>
        <v>0</v>
      </c>
      <c r="E1901" s="976"/>
      <c r="F1901" s="988" t="str">
        <f>VLOOKUP($B1901,DG!A:D,DG!$C$2,)</f>
        <v>Khóa néo dây cỡ dây 95</v>
      </c>
      <c r="G1901" s="976" t="str">
        <f>VLOOKUP($B1901,DG!A:D,DG!$D$2,)</f>
        <v>cái</v>
      </c>
      <c r="H1901" s="1689">
        <f t="shared" si="342"/>
        <v>0</v>
      </c>
      <c r="I1901" s="1689"/>
      <c r="J1901" s="1689"/>
      <c r="K1901" s="1688">
        <f>IFERROR(HLOOKUP(B1901,pp3p1m!$1:$3,2,0),0)</f>
        <v>0</v>
      </c>
      <c r="L1901" s="1689"/>
      <c r="M1901" s="1689"/>
      <c r="N1901" s="1689"/>
      <c r="O1901" s="1689"/>
      <c r="P1901" s="1784">
        <f t="shared" si="350"/>
        <v>0</v>
      </c>
      <c r="Q1901" s="1689">
        <f t="shared" si="351"/>
        <v>0</v>
      </c>
      <c r="R1901" s="1689">
        <f t="shared" si="352"/>
        <v>0</v>
      </c>
      <c r="S1901" s="985"/>
      <c r="T1901" s="1858">
        <f>IFERROR(HLOOKUP(B1901,pp3p1m!$1:$3,3,0),0)</f>
        <v>0</v>
      </c>
    </row>
    <row r="1902" spans="1:20" ht="22.2" hidden="1" customHeight="1">
      <c r="A1902" s="1444">
        <f>COUNTIF($C$12:C1902,"x")</f>
        <v>59</v>
      </c>
      <c r="B1902" s="1456" t="s">
        <v>2231</v>
      </c>
      <c r="C1902" s="966" t="str">
        <f t="shared" ref="C1902:C1967" si="353">IF(OR(P1902&lt;&gt;0,H1902&lt;&gt;0),"x"," ")</f>
        <v xml:space="preserve"> </v>
      </c>
      <c r="D1902" s="1424">
        <f t="shared" si="336"/>
        <v>0</v>
      </c>
      <c r="E1902" s="976"/>
      <c r="F1902" s="988" t="str">
        <f>VLOOKUP($B1902,DG!A:D,DG!$C$2,)</f>
        <v>Khóa néo dây cỡ dây 70</v>
      </c>
      <c r="G1902" s="976" t="str">
        <f>VLOOKUP($B1902,DG!A:D,DG!$D$2,)</f>
        <v>cái</v>
      </c>
      <c r="H1902" s="1689">
        <f t="shared" si="342"/>
        <v>0</v>
      </c>
      <c r="I1902" s="1689"/>
      <c r="J1902" s="1689"/>
      <c r="K1902" s="1688">
        <f>IFERROR(HLOOKUP(B1902,pp3p1m!$1:$3,2,0),0)</f>
        <v>0</v>
      </c>
      <c r="L1902" s="1689"/>
      <c r="M1902" s="1689"/>
      <c r="N1902" s="1689"/>
      <c r="O1902" s="1689"/>
      <c r="P1902" s="1784">
        <f t="shared" si="350"/>
        <v>0</v>
      </c>
      <c r="Q1902" s="1689">
        <f t="shared" si="351"/>
        <v>0</v>
      </c>
      <c r="R1902" s="1689">
        <f t="shared" si="352"/>
        <v>0</v>
      </c>
      <c r="S1902" s="985"/>
      <c r="T1902" s="1858">
        <f>IFERROR(HLOOKUP(B1902,pp3p1m!$1:$3,3,0),0)</f>
        <v>0</v>
      </c>
    </row>
    <row r="1903" spans="1:20" ht="22.2" hidden="1" customHeight="1">
      <c r="A1903" s="1444">
        <f>COUNTIF($C$12:C1903,"x")</f>
        <v>59</v>
      </c>
      <c r="B1903" s="1476" t="s">
        <v>1482</v>
      </c>
      <c r="C1903" s="966" t="str">
        <f t="shared" si="353"/>
        <v xml:space="preserve"> </v>
      </c>
      <c r="D1903" s="1424">
        <f t="shared" si="336"/>
        <v>0</v>
      </c>
      <c r="E1903" s="976"/>
      <c r="F1903" s="988" t="str">
        <f>VLOOKUP($B1903,DG!A:D,DG!$C$2,)</f>
        <v>Khóa néo dây cỡ dây 50</v>
      </c>
      <c r="G1903" s="976" t="str">
        <f>VLOOKUP($B1903,DG!A:D,DG!$D$2,)</f>
        <v>cái</v>
      </c>
      <c r="H1903" s="1689">
        <f t="shared" si="342"/>
        <v>0</v>
      </c>
      <c r="I1903" s="1689"/>
      <c r="J1903" s="1689"/>
      <c r="K1903" s="1688">
        <f>IFERROR(HLOOKUP(B1903,pp3p1m!$1:$3,2,0),0)</f>
        <v>0</v>
      </c>
      <c r="L1903" s="1689"/>
      <c r="M1903" s="1689"/>
      <c r="N1903" s="1689"/>
      <c r="O1903" s="1689"/>
      <c r="P1903" s="1784">
        <f t="shared" si="350"/>
        <v>0</v>
      </c>
      <c r="Q1903" s="1689">
        <f t="shared" si="351"/>
        <v>0</v>
      </c>
      <c r="R1903" s="1689">
        <f t="shared" si="352"/>
        <v>0</v>
      </c>
      <c r="S1903" s="985"/>
      <c r="T1903" s="1858">
        <f>IFERROR(HLOOKUP(B1903,pp3p1m!$1:$3,3,0),0)</f>
        <v>0</v>
      </c>
    </row>
    <row r="1904" spans="1:20" ht="22.2" hidden="1" customHeight="1">
      <c r="A1904" s="1444">
        <f>COUNTIF($C$12:C1904,"x")</f>
        <v>59</v>
      </c>
      <c r="B1904" s="1456" t="s">
        <v>816</v>
      </c>
      <c r="C1904" s="966" t="str">
        <f t="shared" si="353"/>
        <v xml:space="preserve"> </v>
      </c>
      <c r="D1904" s="1424">
        <f t="shared" si="336"/>
        <v>0</v>
      </c>
      <c r="E1904" s="976"/>
      <c r="F1904" s="988" t="str">
        <f>VLOOKUP($B1904,DG!A:D,DG!$C$2,)</f>
        <v>Ốc siết cáp cỡ 25mm2</v>
      </c>
      <c r="G1904" s="976" t="str">
        <f>VLOOKUP($B1904,DG!A:D,DG!$D$2,)</f>
        <v>cái</v>
      </c>
      <c r="H1904" s="1689">
        <f t="shared" si="342"/>
        <v>0</v>
      </c>
      <c r="I1904" s="1689"/>
      <c r="J1904" s="1689"/>
      <c r="K1904" s="1688">
        <f>IFERROR(HLOOKUP(B1904,pp3p1m!$1:$3,2,0),0)</f>
        <v>0</v>
      </c>
      <c r="L1904" s="1689"/>
      <c r="M1904" s="1689"/>
      <c r="N1904" s="1689"/>
      <c r="O1904" s="1689"/>
      <c r="P1904" s="1784">
        <f t="shared" si="350"/>
        <v>0</v>
      </c>
      <c r="Q1904" s="1689">
        <f t="shared" si="351"/>
        <v>0</v>
      </c>
      <c r="R1904" s="1689">
        <f t="shared" si="352"/>
        <v>0</v>
      </c>
      <c r="S1904" s="985"/>
      <c r="T1904" s="1858">
        <f>IFERROR(HLOOKUP(B1904,pp3p1m!$1:$3,3,0),0)</f>
        <v>0</v>
      </c>
    </row>
    <row r="1905" spans="1:20" ht="22.2" hidden="1" customHeight="1">
      <c r="A1905" s="1444">
        <f>COUNTIF($C$12:C1905,"x")</f>
        <v>59</v>
      </c>
      <c r="B1905" s="1456" t="s">
        <v>1358</v>
      </c>
      <c r="C1905" s="966" t="str">
        <f t="shared" si="353"/>
        <v xml:space="preserve"> </v>
      </c>
      <c r="D1905" s="1424">
        <f t="shared" si="336"/>
        <v>0</v>
      </c>
      <c r="E1905" s="976"/>
      <c r="F1905" s="988" t="str">
        <f>VLOOKUP($B1905,DG!A:D,DG!$C$2,)</f>
        <v xml:space="preserve">Ốc siết cáp cỡ 50mm2 </v>
      </c>
      <c r="G1905" s="976" t="str">
        <f>VLOOKUP($B1905,DG!A:D,DG!$D$2,)</f>
        <v>cái</v>
      </c>
      <c r="H1905" s="1689">
        <f t="shared" si="342"/>
        <v>0</v>
      </c>
      <c r="I1905" s="1689"/>
      <c r="J1905" s="1689"/>
      <c r="K1905" s="1688">
        <f>IFERROR(HLOOKUP(B1905,pp3p1m!$1:$3,2,0),0)</f>
        <v>0</v>
      </c>
      <c r="L1905" s="1689"/>
      <c r="M1905" s="1689"/>
      <c r="N1905" s="1689"/>
      <c r="O1905" s="1689"/>
      <c r="P1905" s="1784">
        <f t="shared" si="350"/>
        <v>0</v>
      </c>
      <c r="Q1905" s="1689">
        <f t="shared" si="351"/>
        <v>0</v>
      </c>
      <c r="R1905" s="1689">
        <f t="shared" si="352"/>
        <v>0</v>
      </c>
      <c r="S1905" s="985"/>
      <c r="T1905" s="1858">
        <f>IFERROR(HLOOKUP(B1905,pp3p1m!$1:$3,3,0),0)</f>
        <v>0</v>
      </c>
    </row>
    <row r="1906" spans="1:20" ht="22.2" hidden="1" customHeight="1">
      <c r="A1906" s="1444">
        <f>COUNTIF($C$12:C1906,"x")</f>
        <v>59</v>
      </c>
      <c r="B1906" s="1456" t="s">
        <v>1963</v>
      </c>
      <c r="C1906" s="966" t="str">
        <f t="shared" si="353"/>
        <v xml:space="preserve"> </v>
      </c>
      <c r="D1906" s="1424">
        <f t="shared" si="336"/>
        <v>0</v>
      </c>
      <c r="E1906" s="976"/>
      <c r="F1906" s="988" t="str">
        <f>VLOOKUP($B1906,DG!A:D,DG!$C$2,)</f>
        <v>Kẹp ép WR cỡ dây 35mm2</v>
      </c>
      <c r="G1906" s="976" t="str">
        <f>VLOOKUP($B1906,DG!A:D,DG!$D$2,)</f>
        <v>cái</v>
      </c>
      <c r="H1906" s="1689">
        <f t="shared" si="342"/>
        <v>0</v>
      </c>
      <c r="I1906" s="1689"/>
      <c r="J1906" s="1689"/>
      <c r="K1906" s="1688">
        <f>IFERROR(HLOOKUP(B1906,pp3p1m!$1:$3,2,0),0)</f>
        <v>0</v>
      </c>
      <c r="L1906" s="1689"/>
      <c r="M1906" s="1689"/>
      <c r="N1906" s="1689"/>
      <c r="O1906" s="1689"/>
      <c r="P1906" s="1784">
        <f t="shared" si="350"/>
        <v>0</v>
      </c>
      <c r="Q1906" s="1689">
        <f t="shared" si="351"/>
        <v>0</v>
      </c>
      <c r="R1906" s="1689">
        <f t="shared" si="352"/>
        <v>0</v>
      </c>
      <c r="S1906" s="985"/>
      <c r="T1906" s="1858">
        <f>IFERROR(HLOOKUP(B1906,pp3p1m!$1:$3,3,0),0)</f>
        <v>0</v>
      </c>
    </row>
    <row r="1907" spans="1:20" ht="22.2" hidden="1" customHeight="1">
      <c r="A1907" s="1444">
        <f>COUNTIF($C$12:C1907,"x")</f>
        <v>59</v>
      </c>
      <c r="B1907" s="1455" t="s">
        <v>905</v>
      </c>
      <c r="C1907" s="1697" t="str">
        <f t="shared" si="353"/>
        <v xml:space="preserve"> </v>
      </c>
      <c r="D1907" s="1424">
        <f t="shared" si="336"/>
        <v>0</v>
      </c>
      <c r="E1907" s="976"/>
      <c r="F1907" s="988" t="str">
        <f>VLOOKUP($B1907,DG!A:D,DG!$C$2,)</f>
        <v>Kẹp ép WR cỡ dây 50mm2</v>
      </c>
      <c r="G1907" s="976" t="str">
        <f>VLOOKUP($B1907,DG!A:D,DG!$D$2,)</f>
        <v>cái</v>
      </c>
      <c r="H1907" s="1689">
        <f t="shared" si="342"/>
        <v>0</v>
      </c>
      <c r="I1907" s="1689"/>
      <c r="J1907" s="1689"/>
      <c r="K1907" s="1688">
        <f>IFERROR(HLOOKUP(B1907,pp3p1m!$1:$3,2,0),0)</f>
        <v>0</v>
      </c>
      <c r="L1907" s="1689"/>
      <c r="M1907" s="1689"/>
      <c r="N1907" s="1689"/>
      <c r="O1907" s="1689"/>
      <c r="P1907" s="1689">
        <f t="shared" si="350"/>
        <v>0</v>
      </c>
      <c r="Q1907" s="1689">
        <f t="shared" si="351"/>
        <v>0</v>
      </c>
      <c r="R1907" s="1689">
        <f t="shared" si="352"/>
        <v>0</v>
      </c>
      <c r="S1907" s="985"/>
      <c r="T1907" s="1858">
        <f>IFERROR(HLOOKUP(B1907,pp3p1m!$1:$3,3,0),0)</f>
        <v>0</v>
      </c>
    </row>
    <row r="1908" spans="1:20" ht="22.2" hidden="1" customHeight="1">
      <c r="A1908" s="1444">
        <f>COUNTIF($C$12:C1908,"x")</f>
        <v>59</v>
      </c>
      <c r="B1908" s="1456" t="s">
        <v>13</v>
      </c>
      <c r="C1908" s="966" t="str">
        <f t="shared" si="353"/>
        <v xml:space="preserve"> </v>
      </c>
      <c r="D1908" s="1424">
        <f t="shared" si="336"/>
        <v>0</v>
      </c>
      <c r="E1908" s="976"/>
      <c r="F1908" s="988" t="str">
        <f>VLOOKUP($B1908,DG!A:D,DG!$C$2,)</f>
        <v>Kẹp ép WR cỡ dây 120mm2</v>
      </c>
      <c r="G1908" s="976" t="str">
        <f>VLOOKUP($B1908,DG!A:D,DG!$D$2,)</f>
        <v>cái</v>
      </c>
      <c r="H1908" s="1689">
        <f t="shared" si="342"/>
        <v>0</v>
      </c>
      <c r="I1908" s="1689">
        <f>H1908</f>
        <v>0</v>
      </c>
      <c r="J1908" s="1689"/>
      <c r="K1908" s="1688">
        <f>IFERROR(HLOOKUP(B1908,pp3p1m!$1:$3,2,0),0)</f>
        <v>0</v>
      </c>
      <c r="L1908" s="1689"/>
      <c r="M1908" s="1689"/>
      <c r="N1908" s="1689"/>
      <c r="O1908" s="1689"/>
      <c r="P1908" s="1689">
        <f t="shared" si="350"/>
        <v>0</v>
      </c>
      <c r="Q1908" s="1689">
        <f t="shared" si="351"/>
        <v>0</v>
      </c>
      <c r="R1908" s="1689">
        <f t="shared" si="352"/>
        <v>0</v>
      </c>
      <c r="S1908" s="985"/>
      <c r="T1908" s="1858">
        <f>IFERROR(HLOOKUP(B1908,pp3p1m!$1:$3,3,0),0)</f>
        <v>0</v>
      </c>
    </row>
    <row r="1909" spans="1:20" ht="22.2" hidden="1" customHeight="1">
      <c r="A1909" s="1444">
        <f>COUNTIF($C$12:C1909,"x")</f>
        <v>59</v>
      </c>
      <c r="B1909" s="1456" t="s">
        <v>142</v>
      </c>
      <c r="C1909" s="966" t="str">
        <f t="shared" si="353"/>
        <v xml:space="preserve"> </v>
      </c>
      <c r="D1909" s="1424">
        <f t="shared" si="336"/>
        <v>0</v>
      </c>
      <c r="E1909" s="976"/>
      <c r="F1909" s="988" t="str">
        <f>VLOOKUP($B1909,DG!A:D,DG!$C$2,)</f>
        <v>Kẹp ép WR cỡ dây 150mm2</v>
      </c>
      <c r="G1909" s="976" t="str">
        <f>VLOOKUP($B1909,DG!A:D,DG!$D$2,)</f>
        <v>cái</v>
      </c>
      <c r="H1909" s="1689">
        <f t="shared" si="342"/>
        <v>0</v>
      </c>
      <c r="I1909" s="1689"/>
      <c r="J1909" s="1689"/>
      <c r="K1909" s="1688">
        <f>IFERROR(HLOOKUP(B1909,pp3p1m!$1:$3,2,0),0)</f>
        <v>0</v>
      </c>
      <c r="L1909" s="1689"/>
      <c r="M1909" s="1689"/>
      <c r="N1909" s="1689"/>
      <c r="O1909" s="1689"/>
      <c r="P1909" s="1689">
        <f t="shared" si="350"/>
        <v>0</v>
      </c>
      <c r="Q1909" s="1689">
        <f t="shared" si="351"/>
        <v>0</v>
      </c>
      <c r="R1909" s="1689">
        <f t="shared" si="352"/>
        <v>0</v>
      </c>
      <c r="S1909" s="985"/>
      <c r="T1909" s="1858">
        <f>IFERROR(HLOOKUP(B1909,pp3p1m!$1:$3,3,0),0)</f>
        <v>0</v>
      </c>
    </row>
    <row r="1910" spans="1:20" ht="22.2" hidden="1" customHeight="1">
      <c r="A1910" s="1444">
        <f>COUNTIF($C$12:C1910,"x")</f>
        <v>59</v>
      </c>
      <c r="B1910" s="1456" t="s">
        <v>14</v>
      </c>
      <c r="C1910" s="966" t="str">
        <f t="shared" si="353"/>
        <v xml:space="preserve"> </v>
      </c>
      <c r="D1910" s="1424">
        <f t="shared" si="336"/>
        <v>0</v>
      </c>
      <c r="E1910" s="976"/>
      <c r="F1910" s="988" t="str">
        <f>VLOOKUP($B1910,DG!A:D,DG!$C$2,)</f>
        <v>Kẹp ép WR cỡ dây 185mm2</v>
      </c>
      <c r="G1910" s="976" t="str">
        <f>VLOOKUP($B1910,DG!A:D,DG!$D$2,)</f>
        <v>cái</v>
      </c>
      <c r="H1910" s="1689">
        <f t="shared" si="342"/>
        <v>0</v>
      </c>
      <c r="I1910" s="1689"/>
      <c r="J1910" s="1689"/>
      <c r="K1910" s="1688">
        <f>IFERROR(HLOOKUP(B1910,pp3p1m!$1:$3,2,0),0)</f>
        <v>0</v>
      </c>
      <c r="L1910" s="1689"/>
      <c r="M1910" s="1689"/>
      <c r="N1910" s="1689"/>
      <c r="O1910" s="1689"/>
      <c r="P1910" s="1689">
        <f t="shared" si="350"/>
        <v>0</v>
      </c>
      <c r="Q1910" s="1689">
        <f t="shared" si="351"/>
        <v>0</v>
      </c>
      <c r="R1910" s="1689">
        <f t="shared" si="352"/>
        <v>0</v>
      </c>
      <c r="S1910" s="985"/>
      <c r="T1910" s="1858">
        <f>IFERROR(HLOOKUP(B1910,pp3p1m!$1:$3,3,0),0)</f>
        <v>0</v>
      </c>
    </row>
    <row r="1911" spans="1:20" ht="22.2" hidden="1" customHeight="1">
      <c r="A1911" s="1444">
        <f>COUNTIF($C$12:C1911,"x")</f>
        <v>59</v>
      </c>
      <c r="B1911" s="1456" t="s">
        <v>15</v>
      </c>
      <c r="C1911" s="966" t="str">
        <f t="shared" si="353"/>
        <v xml:space="preserve"> </v>
      </c>
      <c r="D1911" s="1424">
        <f t="shared" si="336"/>
        <v>0</v>
      </c>
      <c r="E1911" s="976"/>
      <c r="F1911" s="988" t="str">
        <f>VLOOKUP($B1911,DG!A:D,DG!$C$2,)</f>
        <v>Kẹp ép WR cỡ dây 240mm2</v>
      </c>
      <c r="G1911" s="976" t="str">
        <f>VLOOKUP($B1911,DG!A:D,DG!$D$2,)</f>
        <v>cái</v>
      </c>
      <c r="H1911" s="1689">
        <f t="shared" si="342"/>
        <v>0</v>
      </c>
      <c r="I1911" s="1689"/>
      <c r="J1911" s="1689"/>
      <c r="K1911" s="1688">
        <f>IFERROR(HLOOKUP(B1911,pp3p1m!$1:$3,2,0),0)</f>
        <v>0</v>
      </c>
      <c r="L1911" s="1689"/>
      <c r="M1911" s="1689"/>
      <c r="N1911" s="1689"/>
      <c r="O1911" s="1689"/>
      <c r="P1911" s="1689">
        <f t="shared" si="350"/>
        <v>0</v>
      </c>
      <c r="Q1911" s="1689">
        <f t="shared" si="351"/>
        <v>0</v>
      </c>
      <c r="R1911" s="1689">
        <f t="shared" si="352"/>
        <v>0</v>
      </c>
      <c r="S1911" s="985"/>
      <c r="T1911" s="1858">
        <f>IFERROR(HLOOKUP(B1911,pp3p1m!$1:$3,3,0),0)</f>
        <v>0</v>
      </c>
    </row>
    <row r="1912" spans="1:20" ht="22.2" hidden="1" customHeight="1">
      <c r="A1912" s="1444">
        <f>COUNTIF($C$12:C1912,"x")</f>
        <v>59</v>
      </c>
      <c r="B1912" s="1456" t="s">
        <v>1582</v>
      </c>
      <c r="C1912" s="966" t="str">
        <f t="shared" si="353"/>
        <v xml:space="preserve"> </v>
      </c>
      <c r="D1912" s="1424">
        <f t="shared" si="336"/>
        <v>0</v>
      </c>
      <c r="E1912" s="976"/>
      <c r="F1912" s="988" t="str">
        <f>VLOOKUP($B1912,DG!A:D,DG!$C$2,)</f>
        <v>Kẹp 2 rãnh cỡ dây 50mm2</v>
      </c>
      <c r="G1912" s="976" t="str">
        <f>VLOOKUP($B1912,DG!A:D,DG!$D$2,)</f>
        <v>cái</v>
      </c>
      <c r="H1912" s="1689">
        <f t="shared" si="342"/>
        <v>0</v>
      </c>
      <c r="I1912" s="1689"/>
      <c r="J1912" s="1689"/>
      <c r="K1912" s="1688">
        <f>IFERROR(HLOOKUP(B1912,pp3p1m!$1:$3,2,0),0)</f>
        <v>0</v>
      </c>
      <c r="L1912" s="1689"/>
      <c r="M1912" s="1689"/>
      <c r="N1912" s="1689"/>
      <c r="O1912" s="1689"/>
      <c r="P1912" s="1689">
        <f t="shared" si="350"/>
        <v>0</v>
      </c>
      <c r="Q1912" s="1689">
        <f t="shared" si="351"/>
        <v>0</v>
      </c>
      <c r="R1912" s="1689">
        <f t="shared" si="352"/>
        <v>0</v>
      </c>
      <c r="S1912" s="985"/>
      <c r="T1912" s="1858">
        <f>IFERROR(HLOOKUP(B1912,pp3p1m!$1:$3,3,0),0)</f>
        <v>0</v>
      </c>
    </row>
    <row r="1913" spans="1:20" ht="22.2" hidden="1" customHeight="1">
      <c r="A1913" s="1444">
        <f>COUNTIF($C$12:C1913,"x")</f>
        <v>59</v>
      </c>
      <c r="B1913" s="1456" t="s">
        <v>1581</v>
      </c>
      <c r="C1913" s="966" t="str">
        <f t="shared" si="353"/>
        <v xml:space="preserve"> </v>
      </c>
      <c r="D1913" s="1424">
        <f t="shared" si="336"/>
        <v>0</v>
      </c>
      <c r="E1913" s="976"/>
      <c r="F1913" s="988" t="str">
        <f>VLOOKUP($B1913,DG!A:D,DG!$C$2,)</f>
        <v>Kẹp 2 rãnh cỡ dây 70mm2</v>
      </c>
      <c r="G1913" s="976" t="str">
        <f>VLOOKUP($B1913,DG!A:D,DG!$D$2,)</f>
        <v>cái</v>
      </c>
      <c r="H1913" s="1689">
        <f t="shared" si="342"/>
        <v>0</v>
      </c>
      <c r="I1913" s="1689"/>
      <c r="J1913" s="1689"/>
      <c r="K1913" s="1688">
        <f>IFERROR(HLOOKUP(B1913,pp3p1m!$1:$3,2,0),0)</f>
        <v>0</v>
      </c>
      <c r="L1913" s="1689"/>
      <c r="M1913" s="1689"/>
      <c r="N1913" s="1689"/>
      <c r="O1913" s="1689"/>
      <c r="P1913" s="1689">
        <f t="shared" si="350"/>
        <v>0</v>
      </c>
      <c r="Q1913" s="1689">
        <f t="shared" si="351"/>
        <v>0</v>
      </c>
      <c r="R1913" s="1689">
        <f t="shared" si="352"/>
        <v>0</v>
      </c>
      <c r="S1913" s="985"/>
      <c r="T1913" s="1858">
        <f>IFERROR(HLOOKUP(B1913,pp3p1m!$1:$3,3,0),0)</f>
        <v>0</v>
      </c>
    </row>
    <row r="1914" spans="1:20" ht="22.2" hidden="1" customHeight="1">
      <c r="A1914" s="1444">
        <f>COUNTIF($C$12:C1914,"x")</f>
        <v>59</v>
      </c>
      <c r="B1914" s="1456" t="s">
        <v>1022</v>
      </c>
      <c r="C1914" s="966" t="str">
        <f t="shared" si="353"/>
        <v xml:space="preserve"> </v>
      </c>
      <c r="D1914" s="1424">
        <f t="shared" si="336"/>
        <v>0</v>
      </c>
      <c r="E1914" s="976"/>
      <c r="F1914" s="988" t="str">
        <f>VLOOKUP($B1914,DG!A:D,DG!$C$2,)</f>
        <v>Kẹp 2 rãnh cỡ dây 95mm2</v>
      </c>
      <c r="G1914" s="976" t="str">
        <f>VLOOKUP($B1914,DG!A:D,DG!$D$2,)</f>
        <v>cái</v>
      </c>
      <c r="H1914" s="1689">
        <f t="shared" si="342"/>
        <v>0</v>
      </c>
      <c r="I1914" s="1689"/>
      <c r="J1914" s="1689"/>
      <c r="K1914" s="1688">
        <f>IFERROR(HLOOKUP(B1914,pp3p1m!$1:$3,2,0),0)</f>
        <v>0</v>
      </c>
      <c r="L1914" s="1689"/>
      <c r="M1914" s="1689"/>
      <c r="N1914" s="1689"/>
      <c r="O1914" s="1689"/>
      <c r="P1914" s="1689">
        <f t="shared" si="350"/>
        <v>0</v>
      </c>
      <c r="Q1914" s="1689">
        <f t="shared" si="351"/>
        <v>0</v>
      </c>
      <c r="R1914" s="1689">
        <f t="shared" si="352"/>
        <v>0</v>
      </c>
      <c r="S1914" s="985"/>
      <c r="T1914" s="1858">
        <f>IFERROR(HLOOKUP(B1914,pp3p1m!$1:$3,3,0),0)</f>
        <v>0</v>
      </c>
    </row>
    <row r="1915" spans="1:20" ht="22.2" hidden="1" customHeight="1">
      <c r="A1915" s="1444">
        <f>COUNTIF($C$12:C1915,"x")</f>
        <v>59</v>
      </c>
      <c r="B1915" s="1456" t="s">
        <v>1250</v>
      </c>
      <c r="C1915" s="966" t="str">
        <f t="shared" si="353"/>
        <v xml:space="preserve"> </v>
      </c>
      <c r="D1915" s="1424">
        <f t="shared" si="336"/>
        <v>0</v>
      </c>
      <c r="E1915" s="976"/>
      <c r="F1915" s="988" t="str">
        <f>VLOOKUP($B1915,DG!A:D,DG!$C$2,)</f>
        <v>Kẹp 2 rãnh cỡ dây 150mm2</v>
      </c>
      <c r="G1915" s="976" t="str">
        <f>VLOOKUP($B1915,DG!A:D,DG!$D$2,)</f>
        <v>cái</v>
      </c>
      <c r="H1915" s="1689">
        <f t="shared" si="342"/>
        <v>0</v>
      </c>
      <c r="I1915" s="1689"/>
      <c r="J1915" s="1689"/>
      <c r="K1915" s="1688">
        <f>IFERROR(HLOOKUP(B1915,pp3p1m!$1:$3,2,0),0)</f>
        <v>0</v>
      </c>
      <c r="L1915" s="1689"/>
      <c r="M1915" s="1689"/>
      <c r="N1915" s="1689"/>
      <c r="O1915" s="1689"/>
      <c r="P1915" s="1689">
        <f t="shared" si="350"/>
        <v>0</v>
      </c>
      <c r="Q1915" s="1689">
        <f t="shared" si="351"/>
        <v>0</v>
      </c>
      <c r="R1915" s="1689">
        <f t="shared" si="352"/>
        <v>0</v>
      </c>
      <c r="S1915" s="985"/>
      <c r="T1915" s="1858">
        <f>IFERROR(HLOOKUP(B1915,pp3p1m!$1:$3,3,0),0)</f>
        <v>0</v>
      </c>
    </row>
    <row r="1916" spans="1:20" ht="22.2" hidden="1" customHeight="1">
      <c r="A1916" s="1444">
        <f>COUNTIF($C$12:C1916,"x")</f>
        <v>59</v>
      </c>
      <c r="B1916" s="1456" t="s">
        <v>778</v>
      </c>
      <c r="C1916" s="966" t="str">
        <f t="shared" si="353"/>
        <v xml:space="preserve"> </v>
      </c>
      <c r="D1916" s="1424">
        <f t="shared" si="336"/>
        <v>0</v>
      </c>
      <c r="E1916" s="976"/>
      <c r="F1916" s="988" t="str">
        <f>VLOOKUP($B1916,DG!A:D,DG!$C$2,)</f>
        <v>Kẹp 2 rãnh cỡ dây 185mm2</v>
      </c>
      <c r="G1916" s="976" t="str">
        <f>VLOOKUP($B1916,DG!A:D,DG!$D$2,)</f>
        <v>cái</v>
      </c>
      <c r="H1916" s="1689">
        <f t="shared" si="342"/>
        <v>0</v>
      </c>
      <c r="I1916" s="1689"/>
      <c r="J1916" s="1689"/>
      <c r="K1916" s="1688">
        <f>IFERROR(HLOOKUP(B1916,pp3p1m!$1:$3,2,0),0)</f>
        <v>0</v>
      </c>
      <c r="L1916" s="1689"/>
      <c r="M1916" s="1689"/>
      <c r="N1916" s="1689"/>
      <c r="O1916" s="1689"/>
      <c r="P1916" s="1689">
        <f t="shared" si="350"/>
        <v>0</v>
      </c>
      <c r="Q1916" s="1689">
        <f t="shared" si="351"/>
        <v>0</v>
      </c>
      <c r="R1916" s="1689">
        <f t="shared" si="352"/>
        <v>0</v>
      </c>
      <c r="S1916" s="985"/>
      <c r="T1916" s="1858">
        <f>IFERROR(HLOOKUP(B1916,pp3p1m!$1:$3,3,0),0)</f>
        <v>0</v>
      </c>
    </row>
    <row r="1917" spans="1:20" ht="22.2" hidden="1" customHeight="1">
      <c r="A1917" s="1444">
        <f>COUNTIF($C$12:C1917,"x")</f>
        <v>59</v>
      </c>
      <c r="B1917" s="1456" t="s">
        <v>1582</v>
      </c>
      <c r="C1917" s="966" t="str">
        <f t="shared" si="353"/>
        <v xml:space="preserve"> </v>
      </c>
      <c r="D1917" s="1424">
        <f t="shared" si="336"/>
        <v>0</v>
      </c>
      <c r="E1917" s="976"/>
      <c r="F1917" s="988" t="str">
        <f>VLOOKUP($B1917,DG!A:D,DG!$C$2,)</f>
        <v>Kẹp 2 rãnh cỡ dây 50mm2</v>
      </c>
      <c r="G1917" s="976" t="str">
        <f>VLOOKUP($B1917,DG!A:D,DG!$D$2,)</f>
        <v>cái</v>
      </c>
      <c r="H1917" s="1689">
        <f t="shared" si="342"/>
        <v>0</v>
      </c>
      <c r="I1917" s="1689"/>
      <c r="J1917" s="1689"/>
      <c r="K1917" s="1688">
        <f>IFERROR(HLOOKUP(B1917,pp3p1m!$1:$3,2,0),0)</f>
        <v>0</v>
      </c>
      <c r="L1917" s="1689"/>
      <c r="M1917" s="1689"/>
      <c r="N1917" s="1689"/>
      <c r="O1917" s="1689"/>
      <c r="P1917" s="1689">
        <f t="shared" si="350"/>
        <v>0</v>
      </c>
      <c r="Q1917" s="1689">
        <f t="shared" si="351"/>
        <v>0</v>
      </c>
      <c r="R1917" s="1689">
        <f t="shared" si="352"/>
        <v>0</v>
      </c>
      <c r="S1917" s="985"/>
      <c r="T1917" s="1858">
        <f>IFERROR(HLOOKUP(B1917,pp3p1m!$1:$3,3,0),0)</f>
        <v>0</v>
      </c>
    </row>
    <row r="1918" spans="1:20" ht="22.2" hidden="1" customHeight="1">
      <c r="A1918" s="1444">
        <f>COUNTIF($C$12:C1918,"x")</f>
        <v>59</v>
      </c>
      <c r="B1918" s="1456" t="s">
        <v>906</v>
      </c>
      <c r="C1918" s="966" t="str">
        <f t="shared" si="353"/>
        <v xml:space="preserve"> </v>
      </c>
      <c r="D1918" s="1424">
        <f t="shared" si="336"/>
        <v>0</v>
      </c>
      <c r="E1918" s="976" t="str">
        <f>VLOOKUP($B1918,DG!A:D,DG!$B$2,)</f>
        <v>03.4002</v>
      </c>
      <c r="F1918" s="988" t="str">
        <f>VLOOKUP($B1918,DG!A:D,DG!$C$2,)</f>
        <v>Đầu cosse ép Cu-Al 50mm2</v>
      </c>
      <c r="G1918" s="976" t="str">
        <f>VLOOKUP($B1918,DG!A:D,DG!$D$2,)</f>
        <v>cái</v>
      </c>
      <c r="H1918" s="1689">
        <f t="shared" si="342"/>
        <v>0</v>
      </c>
      <c r="I1918" s="1689"/>
      <c r="J1918" s="1689"/>
      <c r="K1918" s="1688">
        <f>IFERROR(HLOOKUP(B1918,pp3p1m!$1:$3,2,0),0)</f>
        <v>0</v>
      </c>
      <c r="L1918" s="1689"/>
      <c r="M1918" s="1689"/>
      <c r="N1918" s="1689"/>
      <c r="O1918" s="1689"/>
      <c r="P1918" s="1689">
        <f t="shared" si="350"/>
        <v>0</v>
      </c>
      <c r="Q1918" s="1689">
        <f t="shared" si="351"/>
        <v>0</v>
      </c>
      <c r="R1918" s="1689">
        <f t="shared" si="352"/>
        <v>0</v>
      </c>
      <c r="S1918" s="985"/>
      <c r="T1918" s="1858">
        <f>IFERROR(HLOOKUP(B1918,pp3p1m!$1:$3,3,0),0)</f>
        <v>0</v>
      </c>
    </row>
    <row r="1919" spans="1:20" ht="22.2" hidden="1" customHeight="1">
      <c r="A1919" s="1444">
        <f>COUNTIF($C$12:C1919,"x")</f>
        <v>59</v>
      </c>
      <c r="B1919" s="1456" t="s">
        <v>1075</v>
      </c>
      <c r="C1919" s="966" t="str">
        <f t="shared" si="353"/>
        <v xml:space="preserve"> </v>
      </c>
      <c r="D1919" s="1424">
        <f t="shared" si="336"/>
        <v>0</v>
      </c>
      <c r="E1919" s="976" t="str">
        <f>VLOOKUP($B1919,DG!A:D,DG!$B$2,)</f>
        <v>03.4004</v>
      </c>
      <c r="F1919" s="988" t="str">
        <f>VLOOKUP($B1919,DG!A:D,DG!$C$2,)</f>
        <v>Đầu cosse ép Cu 95mm2</v>
      </c>
      <c r="G1919" s="976" t="str">
        <f>VLOOKUP($B1919,DG!A:D,DG!$D$2,)</f>
        <v>cái</v>
      </c>
      <c r="H1919" s="1689">
        <f t="shared" si="342"/>
        <v>0</v>
      </c>
      <c r="I1919" s="1689"/>
      <c r="J1919" s="1689"/>
      <c r="K1919" s="1688">
        <f>IFERROR(HLOOKUP(B1919,pp3p1m!$1:$3,2,0),0)</f>
        <v>0</v>
      </c>
      <c r="L1919" s="1689"/>
      <c r="M1919" s="1689"/>
      <c r="N1919" s="1689"/>
      <c r="O1919" s="1689"/>
      <c r="P1919" s="1689">
        <f t="shared" si="350"/>
        <v>0</v>
      </c>
      <c r="Q1919" s="1689">
        <f t="shared" si="351"/>
        <v>0</v>
      </c>
      <c r="R1919" s="1689">
        <f t="shared" si="352"/>
        <v>0</v>
      </c>
      <c r="S1919" s="985"/>
      <c r="T1919" s="1858">
        <f>IFERROR(HLOOKUP(B1919,pp3p1m!$1:$3,3,0),0)</f>
        <v>0</v>
      </c>
    </row>
    <row r="1920" spans="1:20" ht="22.2" hidden="1" customHeight="1">
      <c r="A1920" s="1444">
        <f>COUNTIF($C$12:C1920,"x")</f>
        <v>59</v>
      </c>
      <c r="B1920" s="1456" t="s">
        <v>50</v>
      </c>
      <c r="C1920" s="966" t="str">
        <f t="shared" si="353"/>
        <v xml:space="preserve"> </v>
      </c>
      <c r="D1920" s="1424">
        <f t="shared" si="336"/>
        <v>0</v>
      </c>
      <c r="E1920" s="976" t="str">
        <f>VLOOKUP($B1920,DG!A:D,DG!$B$2,)</f>
        <v>03.4005</v>
      </c>
      <c r="F1920" s="988" t="str">
        <f>VLOOKUP($B1920,DG!A:D,DG!$C$2,)</f>
        <v>Đầu cosse ép Cu 120mm2</v>
      </c>
      <c r="G1920" s="976" t="str">
        <f>VLOOKUP($B1920,DG!A:D,DG!$D$2,)</f>
        <v>cái</v>
      </c>
      <c r="H1920" s="1689">
        <f t="shared" si="342"/>
        <v>0</v>
      </c>
      <c r="I1920" s="1689"/>
      <c r="J1920" s="1689"/>
      <c r="K1920" s="1688">
        <f>IFERROR(HLOOKUP(B1920,pp3p1m!$1:$3,2,0),0)</f>
        <v>0</v>
      </c>
      <c r="L1920" s="1689"/>
      <c r="M1920" s="1689"/>
      <c r="N1920" s="1689"/>
      <c r="O1920" s="1689"/>
      <c r="P1920" s="1689">
        <f t="shared" si="350"/>
        <v>0</v>
      </c>
      <c r="Q1920" s="1689">
        <f t="shared" si="351"/>
        <v>0</v>
      </c>
      <c r="R1920" s="1689">
        <f t="shared" si="352"/>
        <v>0</v>
      </c>
      <c r="S1920" s="985"/>
      <c r="T1920" s="1858">
        <f>IFERROR(HLOOKUP(B1920,pp3p1m!$1:$3,3,0),0)</f>
        <v>0</v>
      </c>
    </row>
    <row r="1921" spans="1:20" ht="22.2" hidden="1" customHeight="1">
      <c r="A1921" s="1444">
        <f>COUNTIF($C$12:C1921,"x")</f>
        <v>59</v>
      </c>
      <c r="B1921" s="1456" t="s">
        <v>0</v>
      </c>
      <c r="C1921" s="966" t="str">
        <f t="shared" si="353"/>
        <v xml:space="preserve"> </v>
      </c>
      <c r="D1921" s="1424">
        <f t="shared" si="336"/>
        <v>0</v>
      </c>
      <c r="E1921" s="976" t="str">
        <f>VLOOKUP($B1921,DG!A:D,DG!$B$2,)</f>
        <v>03.4006</v>
      </c>
      <c r="F1921" s="988" t="str">
        <f>VLOOKUP($B1921,DG!A:D,DG!$C$2,)</f>
        <v>Đầu cosse ép Cu 150mm2</v>
      </c>
      <c r="G1921" s="976" t="str">
        <f>VLOOKUP($B1921,DG!A:D,DG!$D$2,)</f>
        <v>cái</v>
      </c>
      <c r="H1921" s="1689">
        <f t="shared" si="342"/>
        <v>0</v>
      </c>
      <c r="I1921" s="1689"/>
      <c r="J1921" s="1689"/>
      <c r="K1921" s="1688">
        <f>IFERROR(HLOOKUP(B1921,pp3p1m!$1:$3,2,0),0)</f>
        <v>0</v>
      </c>
      <c r="L1921" s="1689"/>
      <c r="M1921" s="1689"/>
      <c r="N1921" s="1689"/>
      <c r="O1921" s="1689"/>
      <c r="P1921" s="1689">
        <f t="shared" si="350"/>
        <v>0</v>
      </c>
      <c r="Q1921" s="1689">
        <f t="shared" si="351"/>
        <v>0</v>
      </c>
      <c r="R1921" s="1689">
        <f t="shared" si="352"/>
        <v>0</v>
      </c>
      <c r="S1921" s="985"/>
      <c r="T1921" s="1858">
        <f>IFERROR(HLOOKUP(B1921,pp3p1m!$1:$3,3,0),0)</f>
        <v>0</v>
      </c>
    </row>
    <row r="1922" spans="1:20" ht="22.2" hidden="1" customHeight="1">
      <c r="A1922" s="1444">
        <f>COUNTIF($C$12:C1922,"x")</f>
        <v>59</v>
      </c>
      <c r="B1922" s="1456" t="s">
        <v>1020</v>
      </c>
      <c r="C1922" s="966" t="str">
        <f>IF(OR(P1922&lt;&gt;0,H1922&lt;&gt;0),"x"," ")</f>
        <v xml:space="preserve"> </v>
      </c>
      <c r="D1922" s="1424">
        <f t="shared" si="336"/>
        <v>0</v>
      </c>
      <c r="E1922" s="976" t="str">
        <f>VLOOKUP($B1922,DG!A:D,DG!$B$2,)</f>
        <v>03.4007</v>
      </c>
      <c r="F1922" s="988" t="str">
        <f>VLOOKUP($B1922,DG!A:D,DG!$C$2,)</f>
        <v>Đầu cosse ép Cu-Al 185mm2</v>
      </c>
      <c r="G1922" s="976" t="str">
        <f>VLOOKUP($B1922,DG!A:D,DG!$D$2,)</f>
        <v>cái</v>
      </c>
      <c r="H1922" s="1689">
        <f t="shared" si="342"/>
        <v>0</v>
      </c>
      <c r="I1922" s="1689"/>
      <c r="J1922" s="1689"/>
      <c r="K1922" s="1688">
        <f>IFERROR(HLOOKUP(B1922,pp3p1m!$1:$3,2,0),0)</f>
        <v>0</v>
      </c>
      <c r="L1922" s="1689"/>
      <c r="M1922" s="1689"/>
      <c r="N1922" s="1689"/>
      <c r="O1922" s="1689"/>
      <c r="P1922" s="1689">
        <f t="shared" si="350"/>
        <v>0</v>
      </c>
      <c r="Q1922" s="1689">
        <f t="shared" si="351"/>
        <v>0</v>
      </c>
      <c r="R1922" s="1689">
        <f t="shared" si="352"/>
        <v>0</v>
      </c>
      <c r="S1922" s="985"/>
      <c r="T1922" s="1858">
        <f>IFERROR(HLOOKUP(B1922,pp3p1m!$1:$3,3,0),0)</f>
        <v>0</v>
      </c>
    </row>
    <row r="1923" spans="1:20" ht="22.2" hidden="1" customHeight="1">
      <c r="A1923" s="1444">
        <f>COUNTIF($C$12:C1923,"x")</f>
        <v>59</v>
      </c>
      <c r="B1923" s="1456" t="s">
        <v>1831</v>
      </c>
      <c r="C1923" s="966" t="str">
        <f>IF(OR(P1923&lt;&gt;0,H1923&lt;&gt;0),"x"," ")</f>
        <v xml:space="preserve"> </v>
      </c>
      <c r="D1923" s="1424">
        <f t="shared" si="336"/>
        <v>0</v>
      </c>
      <c r="E1923" s="976" t="str">
        <f>VLOOKUP($B1923,DG!A:D,DG!$B$2,)</f>
        <v>03.4008</v>
      </c>
      <c r="F1923" s="988" t="str">
        <f>VLOOKUP($B1923,DG!A:D,DG!$C$2,)</f>
        <v>Đầu cosse ép Cu-Al 240mm2</v>
      </c>
      <c r="G1923" s="976" t="str">
        <f>VLOOKUP($B1923,DG!A:D,DG!$D$2,)</f>
        <v>cái</v>
      </c>
      <c r="H1923" s="1689">
        <f t="shared" si="342"/>
        <v>0</v>
      </c>
      <c r="I1923" s="1689"/>
      <c r="J1923" s="1689"/>
      <c r="K1923" s="1688">
        <f>IFERROR(HLOOKUP(B1923,pp3p1m!$1:$3,2,0),0)</f>
        <v>0</v>
      </c>
      <c r="L1923" s="1689"/>
      <c r="M1923" s="1689"/>
      <c r="N1923" s="1689"/>
      <c r="O1923" s="1689"/>
      <c r="P1923" s="1689">
        <f t="shared" si="350"/>
        <v>0</v>
      </c>
      <c r="Q1923" s="1689">
        <f t="shared" si="351"/>
        <v>0</v>
      </c>
      <c r="R1923" s="1689">
        <f t="shared" si="352"/>
        <v>0</v>
      </c>
      <c r="S1923" s="985"/>
      <c r="T1923" s="1858">
        <f>IFERROR(HLOOKUP(B1923,pp3p1m!$1:$3,3,0),0)</f>
        <v>0</v>
      </c>
    </row>
    <row r="1924" spans="1:20" ht="22.2" hidden="1" customHeight="1">
      <c r="A1924" s="1444">
        <f>COUNTIF($C$12:C1924,"x")</f>
        <v>59</v>
      </c>
      <c r="B1924" s="1456" t="s">
        <v>5140</v>
      </c>
      <c r="C1924" s="966" t="str">
        <f t="shared" si="353"/>
        <v xml:space="preserve"> </v>
      </c>
      <c r="D1924" s="1424">
        <f t="shared" si="336"/>
        <v>0</v>
      </c>
      <c r="E1924" s="976" t="e">
        <f>VLOOKUP($B1924,DG!A:D,DG!$B$2,)</f>
        <v>#N/A</v>
      </c>
      <c r="F1924" s="988" t="e">
        <f>VLOOKUP($B1924,DG!A:D,DG!$C$2,)</f>
        <v>#N/A</v>
      </c>
      <c r="G1924" s="976" t="e">
        <f>VLOOKUP($B1924,DG!A:D,DG!$D$2,)</f>
        <v>#N/A</v>
      </c>
      <c r="H1924" s="1689">
        <f t="shared" si="342"/>
        <v>0</v>
      </c>
      <c r="I1924" s="1689"/>
      <c r="J1924" s="1689"/>
      <c r="K1924" s="1688">
        <f>IFERROR(HLOOKUP(B1924,pp3p1m!$1:$3,2,0),0)</f>
        <v>0</v>
      </c>
      <c r="L1924" s="1689"/>
      <c r="M1924" s="1689"/>
      <c r="N1924" s="1689"/>
      <c r="O1924" s="1689"/>
      <c r="P1924" s="1689">
        <f t="shared" si="350"/>
        <v>0</v>
      </c>
      <c r="Q1924" s="1689">
        <f t="shared" si="351"/>
        <v>0</v>
      </c>
      <c r="R1924" s="1689">
        <f t="shared" si="352"/>
        <v>0</v>
      </c>
      <c r="S1924" s="985"/>
      <c r="T1924" s="1858">
        <f>IFERROR(HLOOKUP(B1924,pp3p1m!$1:$3,3,0),0)</f>
        <v>0</v>
      </c>
    </row>
    <row r="1925" spans="1:20" ht="22.2" hidden="1" customHeight="1">
      <c r="A1925" s="1444">
        <f>COUNTIF($C$12:C1925,"x")</f>
        <v>59</v>
      </c>
      <c r="B1925" s="1456" t="s">
        <v>5141</v>
      </c>
      <c r="C1925" s="966" t="str">
        <f t="shared" si="353"/>
        <v xml:space="preserve"> </v>
      </c>
      <c r="D1925" s="1424">
        <f t="shared" si="336"/>
        <v>0</v>
      </c>
      <c r="E1925" s="976">
        <f>VLOOKUP($B1925,DG!A:D,DG!$B$2,)</f>
        <v>0</v>
      </c>
      <c r="F1925" s="988" t="str">
        <f>VLOOKUP($B1925,DG!A:D,DG!$C$2,)</f>
        <v>Dây buộc cổ sứ</v>
      </c>
      <c r="G1925" s="976" t="str">
        <f>VLOOKUP($B1925,DG!A:D,DG!$D$2,)</f>
        <v>cái</v>
      </c>
      <c r="H1925" s="1689">
        <f t="shared" si="342"/>
        <v>0</v>
      </c>
      <c r="I1925" s="1689"/>
      <c r="J1925" s="1689"/>
      <c r="K1925" s="1688">
        <f>IFERROR(HLOOKUP(B1925,pp3p1m!$1:$3,2,0),0)</f>
        <v>0</v>
      </c>
      <c r="L1925" s="1689"/>
      <c r="M1925" s="1689"/>
      <c r="N1925" s="1689"/>
      <c r="O1925" s="1689"/>
      <c r="P1925" s="1689">
        <f t="shared" si="350"/>
        <v>0</v>
      </c>
      <c r="Q1925" s="1689">
        <f t="shared" si="351"/>
        <v>0</v>
      </c>
      <c r="R1925" s="1689">
        <f t="shared" si="352"/>
        <v>0</v>
      </c>
      <c r="S1925" s="985"/>
      <c r="T1925" s="1858">
        <f>IFERROR(HLOOKUP(B1925,pp3p1m!$1:$3,3,0),0)</f>
        <v>0</v>
      </c>
    </row>
    <row r="1926" spans="1:20" ht="22.2" hidden="1" customHeight="1">
      <c r="A1926" s="1444">
        <f>COUNTIF($C$12:C1926,"x")</f>
        <v>59</v>
      </c>
      <c r="B1926" s="1456" t="s">
        <v>437</v>
      </c>
      <c r="C1926" s="966" t="str">
        <f t="shared" si="353"/>
        <v xml:space="preserve"> </v>
      </c>
      <c r="D1926" s="1424">
        <f t="shared" si="336"/>
        <v>0</v>
      </c>
      <c r="E1926" s="976">
        <f>VLOOKUP($B1926,DG!A:D,DG!$B$2,)</f>
        <v>0</v>
      </c>
      <c r="F1926" s="988" t="str">
        <f>VLOOKUP($B1926,DG!A:D,DG!$C$2,)</f>
        <v>Boulon 12x30+ 2 long đền vuông D14-50x50x3/Zn</v>
      </c>
      <c r="G1926" s="976" t="str">
        <f>VLOOKUP($B1926,DG!A:D,DG!$D$2,)</f>
        <v>bộ</v>
      </c>
      <c r="H1926" s="1689">
        <f t="shared" si="342"/>
        <v>0</v>
      </c>
      <c r="I1926" s="1689"/>
      <c r="J1926" s="1689"/>
      <c r="K1926" s="1688">
        <f>IFERROR(HLOOKUP(B1926,pp3p1m!$1:$3,2,0),0)</f>
        <v>0</v>
      </c>
      <c r="L1926" s="1689"/>
      <c r="M1926" s="1689"/>
      <c r="N1926" s="1689"/>
      <c r="O1926" s="1689"/>
      <c r="P1926" s="1689">
        <f t="shared" si="350"/>
        <v>0</v>
      </c>
      <c r="Q1926" s="1689">
        <f t="shared" si="351"/>
        <v>0</v>
      </c>
      <c r="R1926" s="1689">
        <f t="shared" si="352"/>
        <v>0</v>
      </c>
      <c r="S1926" s="985"/>
      <c r="T1926" s="1858">
        <f>IFERROR(HLOOKUP(B1926,pp3p1m!$1:$3,3,0),0)</f>
        <v>0</v>
      </c>
    </row>
    <row r="1927" spans="1:20" ht="22.2" hidden="1" customHeight="1">
      <c r="A1927" s="1444">
        <f>COUNTIF($C$12:C1927,"x")</f>
        <v>59</v>
      </c>
      <c r="B1927" s="1451" t="s">
        <v>4459</v>
      </c>
      <c r="C1927" s="1697" t="str">
        <f t="shared" si="353"/>
        <v xml:space="preserve"> </v>
      </c>
      <c r="D1927" s="1424">
        <f>K1927</f>
        <v>0</v>
      </c>
      <c r="E1927" s="976" t="e">
        <f>VLOOKUP($B1927,DG!A:D,DG!$B$2,)</f>
        <v>#N/A</v>
      </c>
      <c r="F1927" s="988" t="e">
        <f>VLOOKUP($B1927,DG!A:D,DG!$C$2,)</f>
        <v>#N/A</v>
      </c>
      <c r="G1927" s="976" t="e">
        <f>VLOOKUP($B1927,DG!A:D,DG!$D$2,)</f>
        <v>#N/A</v>
      </c>
      <c r="H1927" s="1689">
        <f t="shared" si="342"/>
        <v>0</v>
      </c>
      <c r="I1927" s="1689"/>
      <c r="J1927" s="1689"/>
      <c r="K1927" s="1688">
        <f>IFERROR(HLOOKUP(B1927,pp3p1m!$1:$3,2,0),0)</f>
        <v>0</v>
      </c>
      <c r="L1927" s="1689"/>
      <c r="M1927" s="1689"/>
      <c r="N1927" s="1689"/>
      <c r="O1927" s="1689"/>
      <c r="P1927" s="1689">
        <f t="shared" si="350"/>
        <v>0</v>
      </c>
      <c r="Q1927" s="1689">
        <f t="shared" si="351"/>
        <v>0</v>
      </c>
      <c r="R1927" s="1689">
        <f t="shared" si="352"/>
        <v>0</v>
      </c>
      <c r="S1927" s="985"/>
      <c r="T1927" s="1858">
        <f>IFERROR(HLOOKUP(B1927,pp3p1m!$1:$3,3,0),0)</f>
        <v>0</v>
      </c>
    </row>
    <row r="1928" spans="1:20" ht="22.2" hidden="1" customHeight="1">
      <c r="A1928" s="1444">
        <f>COUNTIF($C$12:C1928,"x")</f>
        <v>59</v>
      </c>
      <c r="B1928" s="1451" t="s">
        <v>1477</v>
      </c>
      <c r="C1928" s="1697" t="str">
        <f t="shared" si="353"/>
        <v xml:space="preserve"> </v>
      </c>
      <c r="D1928" s="1424">
        <f>K1928</f>
        <v>0</v>
      </c>
      <c r="E1928" s="976" t="str">
        <f>VLOOKUP($B1928,DG!A:D,DG!$B$2,)</f>
        <v>04.3007</v>
      </c>
      <c r="F1928" s="988" t="str">
        <f>VLOOKUP($B1928,DG!A:D,DG!$C$2,)</f>
        <v>Kẹp hotline 2/0</v>
      </c>
      <c r="G1928" s="976" t="str">
        <f>VLOOKUP($B1928,DG!A:D,DG!$D$2,)</f>
        <v>cái</v>
      </c>
      <c r="H1928" s="1689">
        <f t="shared" si="342"/>
        <v>0</v>
      </c>
      <c r="I1928" s="1689"/>
      <c r="J1928" s="1689"/>
      <c r="K1928" s="1688">
        <f>IFERROR(HLOOKUP(B1928,pp3p1m!$1:$3,2,0),0)</f>
        <v>0</v>
      </c>
      <c r="L1928" s="1689"/>
      <c r="M1928" s="1689"/>
      <c r="N1928" s="1689"/>
      <c r="O1928" s="1689"/>
      <c r="P1928" s="1689">
        <f t="shared" si="350"/>
        <v>0</v>
      </c>
      <c r="Q1928" s="1689">
        <f t="shared" si="351"/>
        <v>0</v>
      </c>
      <c r="R1928" s="1689">
        <f t="shared" si="352"/>
        <v>0</v>
      </c>
      <c r="S1928" s="985"/>
      <c r="T1928" s="1858">
        <f>IFERROR(HLOOKUP(B1928,pp3p1m!$1:$3,3,0),0)</f>
        <v>0</v>
      </c>
    </row>
    <row r="1929" spans="1:20" ht="22.2" hidden="1" customHeight="1">
      <c r="A1929" s="1444">
        <f>COUNTIF($C$12:C1929,"x")</f>
        <v>59</v>
      </c>
      <c r="B1929" s="1451" t="s">
        <v>778</v>
      </c>
      <c r="C1929" s="1697" t="str">
        <f t="shared" si="353"/>
        <v xml:space="preserve"> </v>
      </c>
      <c r="D1929" s="1424">
        <f>K1929</f>
        <v>0</v>
      </c>
      <c r="E1929" s="976"/>
      <c r="F1929" s="988" t="str">
        <f>VLOOKUP($B1929,DG!A:D,DG!$C$2,)</f>
        <v>Kẹp 2 rãnh cỡ dây 185mm2</v>
      </c>
      <c r="G1929" s="976" t="str">
        <f>VLOOKUP($B1929,DG!A:D,DG!$D$2,)</f>
        <v>cái</v>
      </c>
      <c r="H1929" s="1689">
        <f t="shared" si="342"/>
        <v>0</v>
      </c>
      <c r="I1929" s="1689"/>
      <c r="J1929" s="1689"/>
      <c r="K1929" s="1688">
        <f>IFERROR(HLOOKUP(B1929,pp3p1m!$1:$3,2,0),0)</f>
        <v>0</v>
      </c>
      <c r="L1929" s="1689"/>
      <c r="M1929" s="1689"/>
      <c r="N1929" s="1689"/>
      <c r="O1929" s="1689"/>
      <c r="P1929" s="1689">
        <f t="shared" si="350"/>
        <v>0</v>
      </c>
      <c r="Q1929" s="1689">
        <f t="shared" si="351"/>
        <v>0</v>
      </c>
      <c r="R1929" s="1689">
        <f t="shared" si="352"/>
        <v>0</v>
      </c>
      <c r="S1929" s="985"/>
      <c r="T1929" s="1858">
        <f>IFERROR(HLOOKUP(B1929,pp3p1m!$1:$3,3,0),0)</f>
        <v>0</v>
      </c>
    </row>
    <row r="1930" spans="1:20" ht="22.2" hidden="1" customHeight="1">
      <c r="A1930" s="1444">
        <f>COUNTIF($C$12:C1930,"x")</f>
        <v>59</v>
      </c>
      <c r="B1930" s="1451" t="s">
        <v>697</v>
      </c>
      <c r="C1930" s="1697" t="str">
        <f t="shared" si="353"/>
        <v xml:space="preserve"> </v>
      </c>
      <c r="D1930" s="1417"/>
      <c r="E1930" s="1288"/>
      <c r="F1930" s="1274" t="str">
        <f>VLOOKUP($B1930,DG!A:D,DG!$C$2,)</f>
        <v>Cáp 24KV C/XLPE/PVC 25mm2</v>
      </c>
      <c r="G1930" s="976" t="str">
        <f>VLOOKUP($B1930,DG!A:D,DG!$D$2,)</f>
        <v>mét</v>
      </c>
      <c r="H1930" s="1689">
        <f t="shared" si="342"/>
        <v>0</v>
      </c>
      <c r="I1930" s="1689"/>
      <c r="J1930" s="1689"/>
      <c r="K1930" s="1688">
        <f>IFERROR(HLOOKUP(B1930,pp3p1m!$1:$3,2,0),0)</f>
        <v>0</v>
      </c>
      <c r="L1930" s="1689"/>
      <c r="M1930" s="1689"/>
      <c r="N1930" s="1689"/>
      <c r="O1930" s="1689"/>
      <c r="P1930" s="1689">
        <f>H1930</f>
        <v>0</v>
      </c>
      <c r="Q1930" s="1689">
        <f t="shared" si="351"/>
        <v>0</v>
      </c>
      <c r="R1930" s="1689">
        <f t="shared" si="352"/>
        <v>0</v>
      </c>
      <c r="S1930" s="985"/>
      <c r="T1930" s="1858">
        <f>IFERROR(HLOOKUP(B1930,pp3p1m!$1:$3,3,0),0)</f>
        <v>0</v>
      </c>
    </row>
    <row r="1931" spans="1:20" ht="22.2" hidden="1" customHeight="1">
      <c r="A1931" s="1444">
        <f>COUNTIF($C$12:C1931,"x")</f>
        <v>59</v>
      </c>
      <c r="B1931" s="1451" t="s">
        <v>697</v>
      </c>
      <c r="C1931" s="1697" t="str">
        <f t="shared" si="353"/>
        <v xml:space="preserve"> </v>
      </c>
      <c r="D1931" s="1411"/>
      <c r="E1931" s="1288"/>
      <c r="F1931" s="988" t="str">
        <f>VLOOKUP($B1931,DG!A:D,DG!$C$2,)&amp;" : đấu nối FCO"</f>
        <v>Cáp 24KV C/XLPE/PVC 25mm2 : đấu nối FCO</v>
      </c>
      <c r="G1931" s="976" t="str">
        <f>VLOOKUP($B1931,DG!A:D,DG!$D$2,)</f>
        <v>mét</v>
      </c>
      <c r="H1931" s="1689">
        <f t="shared" si="342"/>
        <v>0</v>
      </c>
      <c r="I1931" s="1689">
        <f>H1931</f>
        <v>0</v>
      </c>
      <c r="J1931" s="1689"/>
      <c r="K1931" s="1688">
        <f>IFERROR(HLOOKUP(B1931,pp3p1m!$1:$3,2,0),0)</f>
        <v>0</v>
      </c>
      <c r="L1931" s="1689"/>
      <c r="M1931" s="1689"/>
      <c r="N1931" s="1689"/>
      <c r="O1931" s="1689"/>
      <c r="P1931" s="1689">
        <f t="shared" si="350"/>
        <v>0</v>
      </c>
      <c r="Q1931" s="1689">
        <f t="shared" si="351"/>
        <v>0</v>
      </c>
      <c r="R1931" s="1689">
        <f t="shared" si="352"/>
        <v>0</v>
      </c>
      <c r="S1931" s="985"/>
      <c r="T1931" s="1858">
        <f>IFERROR(HLOOKUP(B1931,pp3p1m!$1:$3,3,0),0)</f>
        <v>0</v>
      </c>
    </row>
    <row r="1932" spans="1:20" ht="22.2" hidden="1" customHeight="1">
      <c r="A1932" s="1444">
        <f>COUNTIF($C$12:C1932,"x")</f>
        <v>59</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42"/>
        <v>0</v>
      </c>
      <c r="I1932" s="1689"/>
      <c r="J1932" s="1689"/>
      <c r="K1932" s="1688">
        <f>IFERROR(HLOOKUP(B1932,pp3p1m!$1:$3,2,0),0)</f>
        <v>0</v>
      </c>
      <c r="L1932" s="1689"/>
      <c r="M1932" s="1689"/>
      <c r="N1932" s="1689"/>
      <c r="O1932" s="1689"/>
      <c r="P1932" s="1689">
        <f>H1932</f>
        <v>0</v>
      </c>
      <c r="Q1932" s="1689">
        <f t="shared" si="351"/>
        <v>0</v>
      </c>
      <c r="R1932" s="1689">
        <f t="shared" si="352"/>
        <v>0</v>
      </c>
      <c r="S1932" s="985"/>
      <c r="T1932" s="1858">
        <f>IFERROR(HLOOKUP(B1932,pp3p1m!$1:$3,3,0),0)</f>
        <v>0</v>
      </c>
    </row>
    <row r="1933" spans="1:20" ht="22.2" hidden="1" customHeight="1">
      <c r="A1933" s="1444">
        <f>COUNTIF($C$12:C1933,"x")</f>
        <v>59</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42"/>
        <v>0</v>
      </c>
      <c r="I1933" s="1689"/>
      <c r="J1933" s="1689"/>
      <c r="K1933" s="1688">
        <f>IFERROR(HLOOKUP(B1933,pp3p1m!$1:$3,2,0),0)</f>
        <v>0</v>
      </c>
      <c r="L1933" s="1689"/>
      <c r="M1933" s="1689"/>
      <c r="N1933" s="1689"/>
      <c r="O1933" s="1689"/>
      <c r="P1933" s="1689">
        <f t="shared" si="350"/>
        <v>0</v>
      </c>
      <c r="Q1933" s="1689">
        <f t="shared" si="351"/>
        <v>0</v>
      </c>
      <c r="R1933" s="1689">
        <f t="shared" si="352"/>
        <v>0</v>
      </c>
      <c r="S1933" s="985"/>
      <c r="T1933" s="1858">
        <f>IFERROR(HLOOKUP(B1933,pp3p1m!$1:$3,3,0),0)</f>
        <v>0</v>
      </c>
    </row>
    <row r="1934" spans="1:20" ht="22.2" hidden="1" customHeight="1">
      <c r="A1934" s="1444">
        <f>COUNTIF($C$12:C1934,"x")</f>
        <v>59</v>
      </c>
      <c r="B1934" s="1451" t="s">
        <v>4460</v>
      </c>
      <c r="C1934" s="1697" t="str">
        <f t="shared" si="353"/>
        <v xml:space="preserve"> </v>
      </c>
      <c r="D1934" s="1411"/>
      <c r="E1934" s="1288"/>
      <c r="F1934" s="988" t="str">
        <f>VLOOKUP($B1934,DG!A:D,DG!$C$2,)</f>
        <v>Nắp chụp kẹp quai + hotline</v>
      </c>
      <c r="G1934" s="976" t="str">
        <f>VLOOKUP($B1934,DG!A:D,DG!$D$2,)</f>
        <v>bộ</v>
      </c>
      <c r="H1934" s="1689">
        <f t="shared" si="342"/>
        <v>0</v>
      </c>
      <c r="I1934" s="1689"/>
      <c r="J1934" s="1689"/>
      <c r="K1934" s="1688">
        <f>IFERROR(HLOOKUP(B1934,pp3p1m!$1:$3,2,0),0)</f>
        <v>0</v>
      </c>
      <c r="L1934" s="1689"/>
      <c r="M1934" s="1689"/>
      <c r="N1934" s="1689"/>
      <c r="O1934" s="1689"/>
      <c r="P1934" s="1689">
        <f t="shared" si="350"/>
        <v>0</v>
      </c>
      <c r="Q1934" s="1689">
        <f t="shared" si="351"/>
        <v>0</v>
      </c>
      <c r="R1934" s="1689">
        <f t="shared" si="352"/>
        <v>0</v>
      </c>
      <c r="S1934" s="985"/>
      <c r="T1934" s="1858">
        <f>IFERROR(HLOOKUP(B1934,pp3p1m!$1:$3,3,0),0)</f>
        <v>0</v>
      </c>
    </row>
    <row r="1935" spans="1:20" ht="22.2" hidden="1" customHeight="1">
      <c r="A1935" s="1444">
        <f>COUNTIF($C$12:C1935,"x")</f>
        <v>59</v>
      </c>
      <c r="B1935" s="1451" t="s">
        <v>1487</v>
      </c>
      <c r="C1935" s="966" t="str">
        <f t="shared" si="353"/>
        <v xml:space="preserve"> </v>
      </c>
      <c r="D1935" s="1411">
        <f>ROUND((E1776)*1.02/2000,0)*12</f>
        <v>0</v>
      </c>
      <c r="E1935" s="976"/>
      <c r="F1935" s="988" t="str">
        <f>VLOOKUP($B1935,DG!A:D,DG!$C$2,)</f>
        <v>Ống nối dây cỡ 50mm2</v>
      </c>
      <c r="G1935" s="976" t="str">
        <f>VLOOKUP($B1935,DG!A:D,DG!$D$2,)</f>
        <v>cái</v>
      </c>
      <c r="H1935" s="1689">
        <f t="shared" ref="H1935:H1996" si="354">IF(D1935&gt;0,D1935,K1935)</f>
        <v>0</v>
      </c>
      <c r="I1935" s="1689"/>
      <c r="J1935" s="1689"/>
      <c r="K1935" s="1688">
        <f>IFERROR(HLOOKUP(B1935,pp3p1m!$1:$3,2,0),0)</f>
        <v>0</v>
      </c>
      <c r="L1935" s="1689"/>
      <c r="M1935" s="1689"/>
      <c r="N1935" s="1689"/>
      <c r="O1935" s="1689"/>
      <c r="P1935" s="1689">
        <f t="shared" si="350"/>
        <v>0</v>
      </c>
      <c r="Q1935" s="1689">
        <f t="shared" si="351"/>
        <v>0</v>
      </c>
      <c r="R1935" s="1689">
        <f t="shared" si="352"/>
        <v>0</v>
      </c>
      <c r="S1935" s="985"/>
      <c r="T1935" s="1858">
        <f>IFERROR(HLOOKUP(B1935,pp3p1m!$1:$3,3,0),0)</f>
        <v>0</v>
      </c>
    </row>
    <row r="1936" spans="1:20" ht="22.2" hidden="1" customHeight="1">
      <c r="A1936" s="1444">
        <f>COUNTIF($C$12:C1936,"x")</f>
        <v>59</v>
      </c>
      <c r="B1936" s="1451" t="s">
        <v>432</v>
      </c>
      <c r="C1936" s="966" t="str">
        <f t="shared" si="353"/>
        <v xml:space="preserve"> </v>
      </c>
      <c r="D1936" s="1411">
        <f>ROUND((E1774+E1784)*1.03/1200,0)</f>
        <v>0</v>
      </c>
      <c r="E1936" s="976"/>
      <c r="F1936" s="988" t="str">
        <f>VLOOKUP($B1936,DG!A:D,DG!$C$2,)</f>
        <v>Ống nối dây cỡ 95mm2</v>
      </c>
      <c r="G1936" s="976" t="str">
        <f>VLOOKUP($B1936,DG!A:D,DG!$D$2,)</f>
        <v>cái</v>
      </c>
      <c r="H1936" s="1689">
        <f t="shared" si="354"/>
        <v>0</v>
      </c>
      <c r="I1936" s="1689"/>
      <c r="J1936" s="1689"/>
      <c r="K1936" s="1688">
        <f>IFERROR(HLOOKUP(B1936,pp3p1m!$1:$3,2,0),0)</f>
        <v>0</v>
      </c>
      <c r="L1936" s="1689"/>
      <c r="M1936" s="1689"/>
      <c r="N1936" s="1689"/>
      <c r="O1936" s="1689"/>
      <c r="P1936" s="1689">
        <f t="shared" si="350"/>
        <v>0</v>
      </c>
      <c r="Q1936" s="1689">
        <f t="shared" si="351"/>
        <v>0</v>
      </c>
      <c r="R1936" s="1689">
        <f t="shared" si="352"/>
        <v>0</v>
      </c>
      <c r="S1936" s="985"/>
      <c r="T1936" s="1858">
        <f>IFERROR(HLOOKUP(B1936,pp3p1m!$1:$3,3,0),0)</f>
        <v>0</v>
      </c>
    </row>
    <row r="1937" spans="1:20" ht="22.2" hidden="1" customHeight="1">
      <c r="A1937" s="1444">
        <f>COUNTIF($C$12:C1937,"x")</f>
        <v>59</v>
      </c>
      <c r="B1937" s="1451" t="s">
        <v>573</v>
      </c>
      <c r="C1937" s="966" t="str">
        <f t="shared" si="353"/>
        <v xml:space="preserve"> </v>
      </c>
      <c r="D1937" s="1411">
        <f>ROUND((E1773+E1783)*1.03/1200,0)</f>
        <v>0</v>
      </c>
      <c r="E1937" s="976"/>
      <c r="F1937" s="988" t="str">
        <f>VLOOKUP($B1937,DG!A:D,DG!$C$2,)</f>
        <v>Ống nối dây cỡ 120mm2</v>
      </c>
      <c r="G1937" s="976" t="str">
        <f>VLOOKUP($B1937,DG!A:D,DG!$D$2,)</f>
        <v>cái</v>
      </c>
      <c r="H1937" s="1689">
        <f t="shared" si="354"/>
        <v>0</v>
      </c>
      <c r="I1937" s="1689"/>
      <c r="J1937" s="1689"/>
      <c r="K1937" s="1688">
        <f>IFERROR(HLOOKUP(B1937,pp3p1m!$1:$3,2,0),0)</f>
        <v>0</v>
      </c>
      <c r="L1937" s="1689"/>
      <c r="M1937" s="1689"/>
      <c r="N1937" s="1689"/>
      <c r="O1937" s="1689"/>
      <c r="P1937" s="1689">
        <f t="shared" si="350"/>
        <v>0</v>
      </c>
      <c r="Q1937" s="1689">
        <f t="shared" si="351"/>
        <v>0</v>
      </c>
      <c r="R1937" s="1689">
        <f t="shared" si="352"/>
        <v>0</v>
      </c>
      <c r="S1937" s="985"/>
      <c r="T1937" s="1858">
        <f>IFERROR(HLOOKUP(B1937,pp3p1m!$1:$3,3,0),0)</f>
        <v>0</v>
      </c>
    </row>
    <row r="1938" spans="1:20" ht="22.2" hidden="1" customHeight="1">
      <c r="A1938" s="1444">
        <f>COUNTIF($C$12:C1938,"x")</f>
        <v>59</v>
      </c>
      <c r="B1938" s="1451" t="s">
        <v>937</v>
      </c>
      <c r="C1938" s="966" t="str">
        <f t="shared" si="353"/>
        <v xml:space="preserve"> </v>
      </c>
      <c r="D1938" s="1411">
        <f>ROUND((E1772+E1782)*1.03/1200,0)</f>
        <v>0</v>
      </c>
      <c r="E1938" s="976"/>
      <c r="F1938" s="988" t="str">
        <f>VLOOKUP($B1938,DG!A:D,DG!$C$2,)</f>
        <v>Ống nối dây cỡ 150mm2</v>
      </c>
      <c r="G1938" s="976" t="str">
        <f>VLOOKUP($B1938,DG!A:D,DG!$D$2,)</f>
        <v>cái</v>
      </c>
      <c r="H1938" s="1689">
        <f t="shared" si="354"/>
        <v>0</v>
      </c>
      <c r="I1938" s="1689"/>
      <c r="J1938" s="1689"/>
      <c r="K1938" s="1688">
        <f>IFERROR(HLOOKUP(B1938,pp3p1m!$1:$3,2,0),0)</f>
        <v>0</v>
      </c>
      <c r="L1938" s="1689"/>
      <c r="M1938" s="1689"/>
      <c r="N1938" s="1689"/>
      <c r="O1938" s="1689"/>
      <c r="P1938" s="1689">
        <f t="shared" si="350"/>
        <v>0</v>
      </c>
      <c r="Q1938" s="1689">
        <f t="shared" si="351"/>
        <v>0</v>
      </c>
      <c r="R1938" s="1689">
        <f t="shared" si="352"/>
        <v>0</v>
      </c>
      <c r="S1938" s="985"/>
      <c r="T1938" s="1858">
        <f>IFERROR(HLOOKUP(B1938,pp3p1m!$1:$3,3,0),0)</f>
        <v>0</v>
      </c>
    </row>
    <row r="1939" spans="1:20" ht="22.2" hidden="1" customHeight="1">
      <c r="A1939" s="1444">
        <f>COUNTIF($C$12:C1939,"x")</f>
        <v>59</v>
      </c>
      <c r="B1939" s="1451" t="s">
        <v>571</v>
      </c>
      <c r="C1939" s="966" t="str">
        <f t="shared" si="353"/>
        <v xml:space="preserve"> </v>
      </c>
      <c r="D1939" s="1411">
        <f>ROUND((E1770+E1780)*1.03/1200,0)</f>
        <v>0</v>
      </c>
      <c r="E1939" s="976"/>
      <c r="F1939" s="988" t="str">
        <f>VLOOKUP($B1939,DG!A:D,DG!$C$2,)</f>
        <v>Ống nối dây cỡ 240mm2</v>
      </c>
      <c r="G1939" s="976" t="str">
        <f>VLOOKUP($B1939,DG!A:D,DG!$D$2,)</f>
        <v>cái</v>
      </c>
      <c r="H1939" s="1689">
        <f t="shared" si="354"/>
        <v>0</v>
      </c>
      <c r="I1939" s="1689"/>
      <c r="J1939" s="1689"/>
      <c r="K1939" s="1688">
        <f>IFERROR(HLOOKUP(B1939,pp3p1m!$1:$3,2,0),0)</f>
        <v>0</v>
      </c>
      <c r="L1939" s="1689"/>
      <c r="M1939" s="1689"/>
      <c r="N1939" s="1689"/>
      <c r="O1939" s="1689"/>
      <c r="P1939" s="1689">
        <f t="shared" si="350"/>
        <v>0</v>
      </c>
      <c r="Q1939" s="1689">
        <f t="shared" si="351"/>
        <v>0</v>
      </c>
      <c r="R1939" s="1689">
        <f t="shared" si="352"/>
        <v>0</v>
      </c>
      <c r="S1939" s="985"/>
      <c r="T1939" s="1858">
        <f>IFERROR(HLOOKUP(B1939,pp3p1m!$1:$3,3,0),0)</f>
        <v>0</v>
      </c>
    </row>
    <row r="1940" spans="1:20" ht="22.2" hidden="1" customHeight="1">
      <c r="A1940" s="1444">
        <f>COUNTIF($C$12:C1940,"x")</f>
        <v>59</v>
      </c>
      <c r="B1940" s="1451" t="s">
        <v>1876</v>
      </c>
      <c r="C1940" s="966" t="str">
        <f t="shared" si="353"/>
        <v xml:space="preserve"> </v>
      </c>
      <c r="D1940" s="1428"/>
      <c r="E1940" s="976"/>
      <c r="F1940" s="988" t="str">
        <f>VLOOKUP($B1940,DG!A:D,DG!$C$2,)</f>
        <v>Cổ dê trụ đôi bắt sứ treo</v>
      </c>
      <c r="G1940" s="976" t="str">
        <f>VLOOKUP($B1940,DG!A:D,DG!$D$2,)</f>
        <v>bộ</v>
      </c>
      <c r="H1940" s="1689">
        <f t="shared" si="354"/>
        <v>0</v>
      </c>
      <c r="I1940" s="1689"/>
      <c r="J1940" s="1689"/>
      <c r="K1940" s="1688">
        <f>IFERROR(HLOOKUP(B1940,pp3p1m!$1:$3,2,0),0)</f>
        <v>0</v>
      </c>
      <c r="L1940" s="1689"/>
      <c r="M1940" s="1689"/>
      <c r="N1940" s="1689"/>
      <c r="O1940" s="1689"/>
      <c r="P1940" s="1689">
        <f t="shared" si="350"/>
        <v>0</v>
      </c>
      <c r="Q1940" s="1689">
        <f t="shared" si="351"/>
        <v>0</v>
      </c>
      <c r="R1940" s="1689">
        <f t="shared" si="352"/>
        <v>0</v>
      </c>
      <c r="S1940" s="985"/>
      <c r="T1940" s="1858">
        <f>IFERROR(HLOOKUP(B1940,pp3p1m!$1:$3,3,0),0)</f>
        <v>0</v>
      </c>
    </row>
    <row r="1941" spans="1:20" ht="22.2" hidden="1" customHeight="1">
      <c r="A1941" s="1444">
        <f>COUNTIF($C$12:C1941,"x")</f>
        <v>59</v>
      </c>
      <c r="B1941" s="1451" t="s">
        <v>1382</v>
      </c>
      <c r="C1941" s="966" t="str">
        <f t="shared" si="353"/>
        <v xml:space="preserve"> </v>
      </c>
      <c r="D1941" s="1428"/>
      <c r="E1941" s="976"/>
      <c r="F1941" s="988" t="str">
        <f>VLOOKUP($B1941,DG!A:D,DG!$C$2,)&amp;": bắt xà trụ ghép"</f>
        <v>Boulon 16x600VRS+ 4 long đền vuông D18-50x50x3/Zn: bắt xà trụ ghép</v>
      </c>
      <c r="G1941" s="976" t="str">
        <f>VLOOKUP($B1941,DG!A:D,DG!$D$2,)</f>
        <v>bộ</v>
      </c>
      <c r="H1941" s="1689">
        <f t="shared" si="354"/>
        <v>0</v>
      </c>
      <c r="I1941" s="1689"/>
      <c r="J1941" s="1689"/>
      <c r="K1941" s="1688">
        <f>IFERROR(HLOOKUP(B1941,pp3p1m!$1:$3,2,0),0)</f>
        <v>0</v>
      </c>
      <c r="L1941" s="1689"/>
      <c r="M1941" s="1689"/>
      <c r="N1941" s="1689"/>
      <c r="O1941" s="1689"/>
      <c r="P1941" s="1689">
        <f t="shared" si="350"/>
        <v>0</v>
      </c>
      <c r="Q1941" s="1689">
        <f t="shared" si="351"/>
        <v>0</v>
      </c>
      <c r="R1941" s="1689">
        <f t="shared" si="352"/>
        <v>0</v>
      </c>
      <c r="S1941" s="985"/>
      <c r="T1941" s="1858">
        <f>IFERROR(HLOOKUP(B1941,pp3p1m!$1:$3,3,0),0)</f>
        <v>0</v>
      </c>
    </row>
    <row r="1942" spans="1:20" ht="22.2" hidden="1" customHeight="1">
      <c r="A1942" s="1444">
        <f>COUNTIF($C$12:C1942,"x")</f>
        <v>59</v>
      </c>
      <c r="B1942" s="1451" t="s">
        <v>4820</v>
      </c>
      <c r="C1942" s="966" t="str">
        <f t="shared" si="353"/>
        <v xml:space="preserve"> </v>
      </c>
      <c r="D1942" s="1424"/>
      <c r="E1942" s="976"/>
      <c r="F1942" s="2007" t="str">
        <f>VLOOKUP($B1942,DG!A:D,DG!$C$2,)&amp;": bắt trụ đôi"</f>
        <v>Boulon 16x450VRS+ 4 long đền vuông D18-50x50x3/Zn: bắt trụ đôi</v>
      </c>
      <c r="G1942" s="976" t="str">
        <f>VLOOKUP($B1942,DG!A:D,DG!$D$2,)</f>
        <v>bộ</v>
      </c>
      <c r="H1942" s="1689">
        <f t="shared" si="354"/>
        <v>0</v>
      </c>
      <c r="I1942" s="1689"/>
      <c r="J1942" s="1689"/>
      <c r="K1942" s="1688">
        <f>IFERROR(HLOOKUP(B1942,pp3p1m!$1:$3,2,0),0)</f>
        <v>0</v>
      </c>
      <c r="L1942" s="1689"/>
      <c r="M1942" s="1689"/>
      <c r="N1942" s="1689"/>
      <c r="O1942" s="1689"/>
      <c r="P1942" s="1689">
        <f t="shared" si="350"/>
        <v>0</v>
      </c>
      <c r="Q1942" s="1689">
        <f t="shared" si="351"/>
        <v>0</v>
      </c>
      <c r="R1942" s="1689">
        <f t="shared" si="352"/>
        <v>0</v>
      </c>
      <c r="S1942" s="985"/>
      <c r="T1942" s="1858">
        <f>IFERROR(HLOOKUP(B1942,pp3p1m!$1:$3,3,0),0)</f>
        <v>0</v>
      </c>
    </row>
    <row r="1943" spans="1:20" ht="22.2" hidden="1" customHeight="1">
      <c r="A1943" s="1444">
        <f>COUNTIF($C$12:C1943,"x")</f>
        <v>59</v>
      </c>
      <c r="B1943" s="1451" t="s">
        <v>532</v>
      </c>
      <c r="C1943" s="966" t="str">
        <f t="shared" si="353"/>
        <v xml:space="preserve"> </v>
      </c>
      <c r="D1943" s="1424"/>
      <c r="E1943" s="976"/>
      <c r="F1943" s="2007" t="str">
        <f>VLOOKUP($B1943,DG!A:D,DG!$C$2,)&amp;": bắt trụ đôi"</f>
        <v>Boulon 16x550VRS+ 4 long đền vuông D18-50x50x3/Zn: bắt trụ đôi</v>
      </c>
      <c r="G1943" s="976" t="str">
        <f>VLOOKUP($B1943,DG!A:D,DG!$D$2,)</f>
        <v>bộ</v>
      </c>
      <c r="H1943" s="1689">
        <f t="shared" si="354"/>
        <v>0</v>
      </c>
      <c r="I1943" s="1689"/>
      <c r="J1943" s="1689"/>
      <c r="K1943" s="1688">
        <f>IFERROR(HLOOKUP(B1943,pp3p1m!$1:$3,2,0),0)</f>
        <v>0</v>
      </c>
      <c r="L1943" s="1689"/>
      <c r="M1943" s="1689"/>
      <c r="N1943" s="1689"/>
      <c r="O1943" s="1689"/>
      <c r="P1943" s="1689">
        <f t="shared" si="350"/>
        <v>0</v>
      </c>
      <c r="Q1943" s="1689">
        <f t="shared" si="351"/>
        <v>0</v>
      </c>
      <c r="R1943" s="1689">
        <f t="shared" si="352"/>
        <v>0</v>
      </c>
      <c r="S1943" s="985"/>
      <c r="T1943" s="1858">
        <f>IFERROR(HLOOKUP(B1943,pp3p1m!$1:$3,3,0),0)</f>
        <v>0</v>
      </c>
    </row>
    <row r="1944" spans="1:20" ht="22.2" hidden="1" customHeight="1">
      <c r="A1944" s="1444">
        <f>COUNTIF($C$12:C1944,"x")</f>
        <v>59</v>
      </c>
      <c r="B1944" s="1451" t="s">
        <v>1382</v>
      </c>
      <c r="C1944" s="966" t="str">
        <f t="shared" si="353"/>
        <v xml:space="preserve"> </v>
      </c>
      <c r="D1944" s="1424"/>
      <c r="E1944" s="976"/>
      <c r="F1944" s="2007" t="str">
        <f>VLOOKUP($B1944,DG!A:D,DG!$C$2,)&amp;": bắt trụ đôi"</f>
        <v>Boulon 16x600VRS+ 4 long đền vuông D18-50x50x3/Zn: bắt trụ đôi</v>
      </c>
      <c r="G1944" s="976" t="str">
        <f>VLOOKUP($B1944,DG!A:D,DG!$D$2,)</f>
        <v>bộ</v>
      </c>
      <c r="H1944" s="1689">
        <f t="shared" si="354"/>
        <v>0</v>
      </c>
      <c r="I1944" s="1689"/>
      <c r="J1944" s="1689"/>
      <c r="K1944" s="1688">
        <f>IFERROR(HLOOKUP(B1944,pp3p1m!$1:$3,2,0),0)</f>
        <v>0</v>
      </c>
      <c r="L1944" s="1689"/>
      <c r="M1944" s="1689"/>
      <c r="N1944" s="1689"/>
      <c r="O1944" s="1689"/>
      <c r="P1944" s="1689">
        <f t="shared" si="350"/>
        <v>0</v>
      </c>
      <c r="Q1944" s="1689">
        <f t="shared" si="351"/>
        <v>0</v>
      </c>
      <c r="R1944" s="1689">
        <f t="shared" si="352"/>
        <v>0</v>
      </c>
      <c r="S1944" s="985"/>
      <c r="T1944" s="1858">
        <f>IFERROR(HLOOKUP(B1944,pp3p1m!$1:$3,3,0),0)</f>
        <v>0</v>
      </c>
    </row>
    <row r="1945" spans="1:20" ht="22.2" hidden="1" customHeight="1">
      <c r="A1945" s="1444">
        <f>COUNTIF($C$12:C1945,"x")</f>
        <v>59</v>
      </c>
      <c r="B1945" s="1451" t="s">
        <v>1061</v>
      </c>
      <c r="C1945" s="966" t="str">
        <f t="shared" si="353"/>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4"/>
        <v>0</v>
      </c>
      <c r="I1945" s="1689"/>
      <c r="J1945" s="1689"/>
      <c r="K1945" s="1688">
        <f>IFERROR(HLOOKUP(B1945,pp3p1m!$1:$3,2,0),0)</f>
        <v>0</v>
      </c>
      <c r="L1945" s="1689"/>
      <c r="M1945" s="1689"/>
      <c r="N1945" s="1689"/>
      <c r="O1945" s="1689"/>
      <c r="P1945" s="1689">
        <f t="shared" si="350"/>
        <v>0</v>
      </c>
      <c r="Q1945" s="1689">
        <f t="shared" si="351"/>
        <v>0</v>
      </c>
      <c r="R1945" s="1689">
        <f t="shared" si="352"/>
        <v>0</v>
      </c>
      <c r="S1945" s="985"/>
      <c r="T1945" s="1858">
        <f>IFERROR(HLOOKUP(B1945,pp3p1m!$1:$3,3,0),0)</f>
        <v>0</v>
      </c>
    </row>
    <row r="1946" spans="1:20" ht="22.2" hidden="1" customHeight="1">
      <c r="A1946" s="1444">
        <f>COUNTIF($C$12:C1946,"x")</f>
        <v>59</v>
      </c>
      <c r="B1946" s="1451" t="s">
        <v>1159</v>
      </c>
      <c r="C1946" s="966" t="str">
        <f t="shared" ref="C1946" si="355">IF(OR(P1946&lt;&gt;0,H1946&lt;&gt;0),"x"," ")</f>
        <v xml:space="preserve"> </v>
      </c>
      <c r="D1946" s="1421"/>
      <c r="E1946" s="976"/>
      <c r="F1946" s="988" t="str">
        <f>VLOOKUP($B1946,DG!A:D,DG!$C$2,)&amp;" + bulon"</f>
        <v>Kẹp treo cáp ABC4x95mm2 + bulon</v>
      </c>
      <c r="G1946" s="976" t="str">
        <f>VLOOKUP($B1946,DG!A:D,DG!$D$2,)</f>
        <v>cái</v>
      </c>
      <c r="H1946" s="1689">
        <f t="shared" si="354"/>
        <v>0</v>
      </c>
      <c r="I1946" s="1689"/>
      <c r="J1946" s="1689"/>
      <c r="K1946" s="1688">
        <f>IFERROR(HLOOKUP(B1946,pp3p1m!$1:$3,2,0),0)</f>
        <v>0</v>
      </c>
      <c r="L1946" s="1689"/>
      <c r="M1946" s="1689"/>
      <c r="N1946" s="1689"/>
      <c r="O1946" s="1689"/>
      <c r="P1946" s="1689">
        <f t="shared" si="350"/>
        <v>0</v>
      </c>
      <c r="Q1946" s="1689">
        <f t="shared" si="351"/>
        <v>0</v>
      </c>
      <c r="R1946" s="1689">
        <f t="shared" si="352"/>
        <v>0</v>
      </c>
      <c r="S1946" s="991"/>
      <c r="T1946" s="1858">
        <f>IFERROR(HLOOKUP(B1946,pp3p1m!$1:$3,3,0),0)</f>
        <v>0</v>
      </c>
    </row>
    <row r="1947" spans="1:20" ht="22.2" hidden="1" customHeight="1">
      <c r="A1947" s="1444">
        <f>COUNTIF($C$12:C1947,"x")</f>
        <v>59</v>
      </c>
      <c r="B1947" s="1451" t="s">
        <v>2259</v>
      </c>
      <c r="C1947" s="966" t="str">
        <f t="shared" si="353"/>
        <v xml:space="preserve"> </v>
      </c>
      <c r="D1947" s="1421"/>
      <c r="E1947" s="976"/>
      <c r="F1947" s="988" t="str">
        <f>VLOOKUP($B1947,DG!A:D,DG!$C$2,)&amp;" + bulon"</f>
        <v>Rack 2 sứ + sứ ống chỉ + bulon</v>
      </c>
      <c r="G1947" s="976" t="str">
        <f>VLOOKUP($B1947,DG!A:D,DG!$D$2,)</f>
        <v>bộ</v>
      </c>
      <c r="H1947" s="1689">
        <f t="shared" si="354"/>
        <v>0</v>
      </c>
      <c r="I1947" s="1689"/>
      <c r="J1947" s="1689"/>
      <c r="K1947" s="1688">
        <f>IFERROR(HLOOKUP(B1947,pp3p1m!$1:$3,2,0),0)</f>
        <v>0</v>
      </c>
      <c r="L1947" s="1689"/>
      <c r="M1947" s="1689"/>
      <c r="N1947" s="1689"/>
      <c r="O1947" s="1689"/>
      <c r="P1947" s="1689">
        <f t="shared" si="350"/>
        <v>0</v>
      </c>
      <c r="Q1947" s="1689">
        <f t="shared" si="351"/>
        <v>0</v>
      </c>
      <c r="R1947" s="1689">
        <f t="shared" si="352"/>
        <v>0</v>
      </c>
      <c r="S1947" s="991"/>
      <c r="T1947" s="1858">
        <f>IFERROR(HLOOKUP(B1947,pp3p1m!$1:$3,3,0),0)</f>
        <v>0</v>
      </c>
    </row>
    <row r="1948" spans="1:20" ht="22.2" hidden="1" customHeight="1">
      <c r="A1948" s="1444">
        <f>COUNTIF($C$12:C1948,"x")</f>
        <v>59</v>
      </c>
      <c r="B1948" s="1451" t="s">
        <v>667</v>
      </c>
      <c r="C1948" s="966" t="str">
        <f t="shared" si="353"/>
        <v xml:space="preserve"> </v>
      </c>
      <c r="D1948" s="1421"/>
      <c r="E1948" s="976"/>
      <c r="F1948" s="988" t="str">
        <f>VLOOKUP($B1948,DG!A:D,DG!$C$2,)&amp;" + bulon"</f>
        <v>Rack 3 sứ + sứ ống chỉ + bulon</v>
      </c>
      <c r="G1948" s="976" t="str">
        <f>VLOOKUP($B1948,DG!A:D,DG!$D$2,)</f>
        <v>bộ</v>
      </c>
      <c r="H1948" s="1689">
        <f t="shared" si="354"/>
        <v>0</v>
      </c>
      <c r="I1948" s="1689"/>
      <c r="J1948" s="1689"/>
      <c r="K1948" s="1688">
        <f>IFERROR(HLOOKUP(B1948,pp3p1m!$1:$3,2,0),0)</f>
        <v>0</v>
      </c>
      <c r="L1948" s="1689"/>
      <c r="M1948" s="1689"/>
      <c r="N1948" s="1689"/>
      <c r="O1948" s="1689"/>
      <c r="P1948" s="1689">
        <f t="shared" si="350"/>
        <v>0</v>
      </c>
      <c r="Q1948" s="1689">
        <f t="shared" si="351"/>
        <v>0</v>
      </c>
      <c r="R1948" s="1689">
        <f t="shared" si="352"/>
        <v>0</v>
      </c>
      <c r="S1948" s="991"/>
      <c r="T1948" s="1858">
        <f>IFERROR(HLOOKUP(B1948,pp3p1m!$1:$3,3,0),0)</f>
        <v>0</v>
      </c>
    </row>
    <row r="1949" spans="1:20" ht="22.2" hidden="1" customHeight="1">
      <c r="A1949" s="1444">
        <f>COUNTIF($C$12:C1949,"x")</f>
        <v>59</v>
      </c>
      <c r="B1949" s="1451" t="s">
        <v>51</v>
      </c>
      <c r="C1949" s="966" t="str">
        <f t="shared" si="353"/>
        <v xml:space="preserve"> </v>
      </c>
      <c r="D1949" s="1421"/>
      <c r="E1949" s="976"/>
      <c r="F1949" s="988" t="str">
        <f>VLOOKUP($B1949,DG!A:D,DG!$C$2,)&amp;" + bulon"</f>
        <v>Rack 4 + bulon</v>
      </c>
      <c r="G1949" s="976" t="str">
        <f>VLOOKUP($B1949,DG!A:D,DG!$D$2,)</f>
        <v>cái</v>
      </c>
      <c r="H1949" s="1689">
        <f t="shared" si="354"/>
        <v>0</v>
      </c>
      <c r="I1949" s="1689"/>
      <c r="J1949" s="1689"/>
      <c r="K1949" s="1688">
        <f>IFERROR(HLOOKUP(B1949,pp3p1m!$1:$3,2,0),0)</f>
        <v>0</v>
      </c>
      <c r="L1949" s="1689"/>
      <c r="M1949" s="1689"/>
      <c r="N1949" s="1689"/>
      <c r="O1949" s="1689"/>
      <c r="P1949" s="1689">
        <f t="shared" ref="P1949:P1991" si="356">T1949</f>
        <v>0</v>
      </c>
      <c r="Q1949" s="1689">
        <f t="shared" ref="Q1949:Q2009" si="357">IF(P1949&gt;H1949,P1949-H1949,0)</f>
        <v>0</v>
      </c>
      <c r="R1949" s="1689">
        <f t="shared" ref="R1949:R2009" si="358">IF(H1949&gt;P1949,H1949-P1949,0)</f>
        <v>0</v>
      </c>
      <c r="S1949" s="991"/>
      <c r="T1949" s="1858">
        <f>IFERROR(HLOOKUP(B1949,pp3p1m!$1:$3,3,0),0)</f>
        <v>0</v>
      </c>
    </row>
    <row r="1950" spans="1:20" ht="22.2" hidden="1" customHeight="1">
      <c r="A1950" s="1444">
        <f>COUNTIF($C$12:C1950,"x")</f>
        <v>59</v>
      </c>
      <c r="B1950" s="1451" t="s">
        <v>1185</v>
      </c>
      <c r="C1950" s="966" t="str">
        <f t="shared" si="353"/>
        <v xml:space="preserve"> </v>
      </c>
      <c r="D1950" s="1421"/>
      <c r="E1950" s="976"/>
      <c r="F1950" s="988" t="str">
        <f>VLOOKUP($B1950,DG!A:D,DG!$C$2,)</f>
        <v>Boulon 16x350+ 2 long đền vuông D18-50x50x3/Zn</v>
      </c>
      <c r="G1950" s="976" t="str">
        <f>VLOOKUP($B1950,DG!A:D,DG!$D$2,)</f>
        <v>bộ</v>
      </c>
      <c r="H1950" s="1689">
        <f t="shared" si="354"/>
        <v>0</v>
      </c>
      <c r="I1950" s="1689"/>
      <c r="J1950" s="1689"/>
      <c r="K1950" s="1688">
        <f>IFERROR(HLOOKUP(B1950,pp3p1m!$1:$3,2,0),0)</f>
        <v>0</v>
      </c>
      <c r="L1950" s="1689"/>
      <c r="M1950" s="1689"/>
      <c r="N1950" s="1689"/>
      <c r="O1950" s="1689"/>
      <c r="P1950" s="1689">
        <f t="shared" si="356"/>
        <v>0</v>
      </c>
      <c r="Q1950" s="1689">
        <f t="shared" si="357"/>
        <v>0</v>
      </c>
      <c r="R1950" s="1689">
        <f t="shared" si="358"/>
        <v>0</v>
      </c>
      <c r="S1950" s="991"/>
      <c r="T1950" s="1858">
        <f>IFERROR(HLOOKUP(B1950,pp3p1m!$1:$3,3,0),0)</f>
        <v>0</v>
      </c>
    </row>
    <row r="1951" spans="1:20" ht="22.2" hidden="1" customHeight="1">
      <c r="A1951" s="1444">
        <f>COUNTIF($C$12:C1951,"x")</f>
        <v>59</v>
      </c>
      <c r="B1951" s="1451" t="s">
        <v>550</v>
      </c>
      <c r="C1951" s="1697" t="str">
        <f t="shared" si="353"/>
        <v xml:space="preserve"> </v>
      </c>
      <c r="D1951" s="1421"/>
      <c r="E1951" s="976"/>
      <c r="F1951" s="988" t="str">
        <f>VLOOKUP($B1951,DG!A:D,DG!$C$2,)</f>
        <v>Bass LI bắt FCO</v>
      </c>
      <c r="G1951" s="976" t="str">
        <f>VLOOKUP($B1951,DG!A:D,DG!$D$2,)</f>
        <v>Bộ</v>
      </c>
      <c r="H1951" s="1689">
        <f t="shared" si="354"/>
        <v>0</v>
      </c>
      <c r="I1951" s="1689"/>
      <c r="J1951" s="1689"/>
      <c r="K1951" s="1688">
        <f>IFERROR(HLOOKUP(B1951,pp3p1m!$1:$3,2,0),0)</f>
        <v>0</v>
      </c>
      <c r="L1951" s="1689"/>
      <c r="M1951" s="1689"/>
      <c r="N1951" s="1689"/>
      <c r="O1951" s="1689"/>
      <c r="P1951" s="1689">
        <f t="shared" si="356"/>
        <v>0</v>
      </c>
      <c r="Q1951" s="1689">
        <f t="shared" si="357"/>
        <v>0</v>
      </c>
      <c r="R1951" s="1689">
        <f t="shared" si="358"/>
        <v>0</v>
      </c>
      <c r="S1951" s="985"/>
      <c r="T1951" s="1858">
        <f>IFERROR(HLOOKUP(B1951,pp3p1m!$1:$3,3,0),0)</f>
        <v>0</v>
      </c>
    </row>
    <row r="1952" spans="1:20" ht="22.2" hidden="1" customHeight="1">
      <c r="A1952" s="1444">
        <f>COUNTIF($C$12:C1952,"x")</f>
        <v>59</v>
      </c>
      <c r="B1952" s="1451" t="s">
        <v>6097</v>
      </c>
      <c r="C1952" s="966" t="str">
        <f t="shared" si="353"/>
        <v xml:space="preserve"> </v>
      </c>
      <c r="D1952" s="1421"/>
      <c r="E1952" s="976"/>
      <c r="F1952" s="988" t="str">
        <f>VLOOKUP($B1952,DG!A:D,DG!$C$2,)</f>
        <v>Bass LI bắt LA</v>
      </c>
      <c r="G1952" s="976" t="str">
        <f>VLOOKUP($B1952,DG!A:D,DG!$D$2,)</f>
        <v>Bộ</v>
      </c>
      <c r="H1952" s="1689">
        <f t="shared" si="354"/>
        <v>0</v>
      </c>
      <c r="I1952" s="1689"/>
      <c r="J1952" s="1689"/>
      <c r="K1952" s="1688">
        <f>IFERROR(HLOOKUP(B1952,pp3p1m!$1:$3,2,0),0)</f>
        <v>0</v>
      </c>
      <c r="L1952" s="1689"/>
      <c r="M1952" s="1689"/>
      <c r="N1952" s="1689"/>
      <c r="O1952" s="1689"/>
      <c r="P1952" s="1689">
        <f t="shared" si="356"/>
        <v>0</v>
      </c>
      <c r="Q1952" s="1689">
        <f t="shared" si="357"/>
        <v>0</v>
      </c>
      <c r="R1952" s="1689">
        <f t="shared" si="358"/>
        <v>0</v>
      </c>
      <c r="S1952" s="991"/>
      <c r="T1952" s="1858">
        <f>IFERROR(HLOOKUP(B1952,pp3p1m!$1:$3,3,0),0)</f>
        <v>0</v>
      </c>
    </row>
    <row r="1953" spans="1:20" ht="22.2" hidden="1" customHeight="1">
      <c r="A1953" s="1444">
        <f>COUNTIF($C$12:C1953,"x")</f>
        <v>59</v>
      </c>
      <c r="B1953" s="1447" t="s">
        <v>4462</v>
      </c>
      <c r="C1953" s="1697" t="str">
        <f t="shared" si="353"/>
        <v xml:space="preserve"> </v>
      </c>
      <c r="D1953" s="1421"/>
      <c r="E1953" s="976"/>
      <c r="F1953" s="988" t="str">
        <f>VLOOKUP($B1953,DG!A:D,DG!$C$2,)</f>
        <v>Cáp nhôm A-70: buộc cổ sứ</v>
      </c>
      <c r="G1953" s="976" t="str">
        <f>VLOOKUP($B1953,DG!A:D,DG!$D$2,)</f>
        <v>kg</v>
      </c>
      <c r="H1953" s="1689">
        <f t="shared" si="354"/>
        <v>0</v>
      </c>
      <c r="I1953" s="1689"/>
      <c r="J1953" s="1689"/>
      <c r="K1953" s="1688">
        <f>IFERROR(HLOOKUP(B1953,pp3p1m!$1:$3,2,0),0)</f>
        <v>0</v>
      </c>
      <c r="L1953" s="1689"/>
      <c r="M1953" s="1689"/>
      <c r="N1953" s="1689"/>
      <c r="O1953" s="1689"/>
      <c r="P1953" s="1689">
        <f t="shared" si="356"/>
        <v>0</v>
      </c>
      <c r="Q1953" s="1689">
        <f t="shared" si="357"/>
        <v>0</v>
      </c>
      <c r="R1953" s="1689">
        <f t="shared" si="358"/>
        <v>0</v>
      </c>
      <c r="S1953" s="991"/>
      <c r="T1953" s="1858">
        <f>IFERROR(HLOOKUP(B1953,pp3p1m!$1:$3,3,0),0)</f>
        <v>0</v>
      </c>
    </row>
    <row r="1954" spans="1:20" ht="22.2" hidden="1" customHeight="1">
      <c r="A1954" s="1444">
        <f>COUNTIF($C$12:C1954,"x")</f>
        <v>59</v>
      </c>
      <c r="B1954" s="1451" t="s">
        <v>4340</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4"/>
        <v>0</v>
      </c>
      <c r="I1954" s="1689"/>
      <c r="J1954" s="1689"/>
      <c r="K1954" s="1688">
        <f>IFERROR(HLOOKUP(B1954,pp3p1m!$1:$3,2,0),0)</f>
        <v>0</v>
      </c>
      <c r="L1954" s="1689"/>
      <c r="M1954" s="1689"/>
      <c r="N1954" s="1689"/>
      <c r="O1954" s="1689"/>
      <c r="P1954" s="1689">
        <f t="shared" si="356"/>
        <v>0</v>
      </c>
      <c r="Q1954" s="1689">
        <f t="shared" si="357"/>
        <v>0</v>
      </c>
      <c r="R1954" s="1689">
        <f t="shared" si="358"/>
        <v>0</v>
      </c>
      <c r="S1954" s="991"/>
      <c r="T1954" s="1858">
        <f>IFERROR(HLOOKUP(B1954,pp3p1m!$1:$3,3,0),0)</f>
        <v>0</v>
      </c>
    </row>
    <row r="1955" spans="1:20" ht="22.2" hidden="1" customHeight="1">
      <c r="A1955" s="1444">
        <f>COUNTIF($C$12:C1955,"x")</f>
        <v>59</v>
      </c>
      <c r="B1955" s="1451" t="s">
        <v>6099</v>
      </c>
      <c r="C1955" s="1697" t="str">
        <f>IF(OR(P1955&lt;&gt;0,H1955&lt;&gt;0),"x"," ")</f>
        <v xml:space="preserve"> </v>
      </c>
      <c r="D1955" s="1411"/>
      <c r="E1955" s="976"/>
      <c r="F1955" s="988" t="str">
        <f>VLOOKUP($B1955,DG!A:D,DG!$C$2,)</f>
        <v>Chụp cách điện đầu cực LA</v>
      </c>
      <c r="G1955" s="976" t="str">
        <f>VLOOKUP($B1955,DG!A:D,DG!$D$2,)</f>
        <v>cái</v>
      </c>
      <c r="H1955" s="1689">
        <f t="shared" si="354"/>
        <v>0</v>
      </c>
      <c r="I1955" s="1689"/>
      <c r="J1955" s="1689"/>
      <c r="K1955" s="1688">
        <f>IFERROR(HLOOKUP(B1955,pp3p1m!$1:$3,2,0),0)</f>
        <v>0</v>
      </c>
      <c r="L1955" s="1689"/>
      <c r="M1955" s="1689"/>
      <c r="N1955" s="1689"/>
      <c r="O1955" s="1689"/>
      <c r="P1955" s="1689">
        <f t="shared" si="356"/>
        <v>0</v>
      </c>
      <c r="Q1955" s="1689">
        <f t="shared" si="357"/>
        <v>0</v>
      </c>
      <c r="R1955" s="1689">
        <f t="shared" si="358"/>
        <v>0</v>
      </c>
      <c r="S1955" s="991"/>
      <c r="T1955" s="1858">
        <f>IFERROR(HLOOKUP(B1955,pp3p1m!$1:$3,3,0),0)</f>
        <v>0</v>
      </c>
    </row>
    <row r="1956" spans="1:20" ht="22.2" hidden="1" customHeight="1">
      <c r="A1956" s="1444">
        <f>COUNTIF($C$12:C1956,"x")</f>
        <v>60</v>
      </c>
      <c r="B1956" s="1451" t="s">
        <v>6</v>
      </c>
      <c r="C1956" s="1697" t="str">
        <f t="shared" ref="C1956" si="359">IF(OR(P1956&lt;&gt;0,H1956&lt;&gt;0),"x"," ")</f>
        <v>x</v>
      </c>
      <c r="D1956" s="1411">
        <v>2</v>
      </c>
      <c r="E1956" s="976"/>
      <c r="F1956" s="988" t="str">
        <f>VLOOKUP($B1956,DG!A:D,DG!$C$2,)</f>
        <v>Keo silicon bít miệng ống</v>
      </c>
      <c r="G1956" s="976" t="str">
        <f>VLOOKUP($B1956,DG!A:D,DG!$D$2,)</f>
        <v>ống</v>
      </c>
      <c r="H1956" s="1689">
        <f t="shared" ref="H1956" si="360">IF(D1956&gt;0,D1956,K1956)</f>
        <v>2</v>
      </c>
      <c r="I1956" s="1689"/>
      <c r="J1956" s="1689"/>
      <c r="K1956" s="1688">
        <f>IFERROR(HLOOKUP(B1956,pp3p1m!$1:$3,2,0),0)</f>
        <v>0</v>
      </c>
      <c r="L1956" s="1689"/>
      <c r="M1956" s="1689"/>
      <c r="N1956" s="1689"/>
      <c r="O1956" s="1689"/>
      <c r="P1956" s="1689">
        <f>H1956</f>
        <v>2</v>
      </c>
      <c r="Q1956" s="1689">
        <f t="shared" ref="Q1956" si="361">IF(P1956&gt;H1956,P1956-H1956,0)</f>
        <v>0</v>
      </c>
      <c r="R1956" s="1689">
        <f t="shared" ref="R1956" si="362">IF(H1956&gt;P1956,H1956-P1956,0)</f>
        <v>0</v>
      </c>
      <c r="S1956" s="991"/>
      <c r="T1956" s="1858">
        <f>IFERROR(HLOOKUP(B1956,pp3p1m!$1:$3,3,0),0)</f>
        <v>0</v>
      </c>
    </row>
    <row r="1957" spans="1:20" ht="22.2" hidden="1" customHeight="1">
      <c r="A1957" s="1444">
        <f>COUNTIF($C$12:C1957,"x")</f>
        <v>60</v>
      </c>
      <c r="B1957" s="1451" t="s">
        <v>6536</v>
      </c>
      <c r="C1957" s="1697" t="str">
        <f t="shared" si="353"/>
        <v xml:space="preserve"> </v>
      </c>
      <c r="D1957" s="1411"/>
      <c r="E1957" s="976"/>
      <c r="F1957" s="988" t="str">
        <f>VLOOKUP($B1957,DG!A:D,DG!$C$2,)</f>
        <v>Băng keo cách điện trung thế</v>
      </c>
      <c r="G1957" s="976" t="str">
        <f>VLOOKUP($B1957,DG!A:D,DG!$D$2,)</f>
        <v>cuộn</v>
      </c>
      <c r="H1957" s="1689">
        <f t="shared" si="354"/>
        <v>0</v>
      </c>
      <c r="I1957" s="1689"/>
      <c r="J1957" s="1689"/>
      <c r="K1957" s="1688">
        <f>IFERROR(HLOOKUP(B1957,pp3p1m!$1:$3,2,0),0)</f>
        <v>0</v>
      </c>
      <c r="L1957" s="1689"/>
      <c r="M1957" s="1689"/>
      <c r="N1957" s="1689"/>
      <c r="O1957" s="1689"/>
      <c r="P1957" s="1689">
        <f t="shared" si="356"/>
        <v>0</v>
      </c>
      <c r="Q1957" s="1689">
        <f t="shared" si="357"/>
        <v>0</v>
      </c>
      <c r="R1957" s="1689">
        <f t="shared" si="358"/>
        <v>0</v>
      </c>
      <c r="S1957" s="991"/>
      <c r="T1957" s="1858">
        <f>IFERROR(HLOOKUP(B1957,pp3p1m!$1:$3,3,0),0)</f>
        <v>0</v>
      </c>
    </row>
    <row r="1958" spans="1:20" ht="22.2" hidden="1" customHeight="1">
      <c r="A1958" s="1444">
        <f>COUNTIF($C$12:C1958,"x")</f>
        <v>60</v>
      </c>
      <c r="B1958" s="1447" t="s">
        <v>1570</v>
      </c>
      <c r="C1958" s="966" t="str">
        <f t="shared" si="353"/>
        <v xml:space="preserve"> </v>
      </c>
      <c r="D1958" s="1411"/>
      <c r="E1958" s="976"/>
      <c r="F1958" s="988" t="str">
        <f>VLOOKUP($B1958,DG!A:D,DG!$C$2,)</f>
        <v>Biển số - Bảng nguy hiểm</v>
      </c>
      <c r="G1958" s="976" t="str">
        <f>VLOOKUP($B1958,DG!A:D,DG!$D$2,)</f>
        <v>cái</v>
      </c>
      <c r="H1958" s="1689">
        <f t="shared" si="354"/>
        <v>0</v>
      </c>
      <c r="I1958" s="1689"/>
      <c r="J1958" s="1689"/>
      <c r="K1958" s="1688">
        <f>IFERROR(HLOOKUP(B1958,pp3p1m!$1:$3,2,0),0)</f>
        <v>0</v>
      </c>
      <c r="L1958" s="1689"/>
      <c r="M1958" s="1689"/>
      <c r="N1958" s="1689"/>
      <c r="O1958" s="1689"/>
      <c r="P1958" s="1689">
        <f t="shared" si="356"/>
        <v>0</v>
      </c>
      <c r="Q1958" s="1689">
        <f t="shared" si="357"/>
        <v>0</v>
      </c>
      <c r="R1958" s="1689">
        <f t="shared" si="358"/>
        <v>0</v>
      </c>
      <c r="S1958" s="985"/>
      <c r="T1958" s="1858">
        <f>IFERROR(HLOOKUP(B1958,pp3p1m!$1:$3,3,0),0)</f>
        <v>0</v>
      </c>
    </row>
    <row r="1959" spans="1:20" ht="22.2" hidden="1" customHeight="1">
      <c r="A1959" s="1444">
        <f>COUNTIF($C$12:C1959,"x")</f>
        <v>60</v>
      </c>
      <c r="B1959" s="1447" t="s">
        <v>1269</v>
      </c>
      <c r="C1959" s="1697" t="str">
        <f t="shared" si="353"/>
        <v xml:space="preserve"> </v>
      </c>
      <c r="D1959" s="1409">
        <f>(E1776)/1000</f>
        <v>0</v>
      </c>
      <c r="E1959" s="976" t="str">
        <f>VLOOKUP($B1959,DG!A:D,DG!$B$2,)</f>
        <v>06.6114</v>
      </c>
      <c r="F1959" s="981" t="str">
        <f>VLOOKUP($B1959,DG!A:D,DG!$C$2,)</f>
        <v>Kéo dây nhôm lõi thép cỡ dây 50mm2</v>
      </c>
      <c r="G1959" s="976" t="str">
        <f>VLOOKUP($B1959,DG!A:D,DG!$D$2,)</f>
        <v>km</v>
      </c>
      <c r="H1959" s="1695">
        <f t="shared" si="354"/>
        <v>0</v>
      </c>
      <c r="I1959" s="1695"/>
      <c r="J1959" s="1695"/>
      <c r="K1959" s="2980">
        <f>IFERROR(HLOOKUP(B1959,pp3p1m!$1:$3,2,0),0)</f>
        <v>0</v>
      </c>
      <c r="L1959" s="1695"/>
      <c r="M1959" s="1695"/>
      <c r="N1959" s="1695"/>
      <c r="O1959" s="1695"/>
      <c r="P1959" s="1695">
        <f>H1959</f>
        <v>0</v>
      </c>
      <c r="Q1959" s="1689">
        <f t="shared" si="357"/>
        <v>0</v>
      </c>
      <c r="R1959" s="1689">
        <f t="shared" si="358"/>
        <v>0</v>
      </c>
      <c r="S1959" s="985"/>
      <c r="T1959" s="1858">
        <f>IFERROR(HLOOKUP(B1959,pp3p1m!$1:$3,3,0),0)</f>
        <v>0</v>
      </c>
    </row>
    <row r="1960" spans="1:20" ht="22.2" hidden="1" customHeight="1">
      <c r="A1960" s="1444">
        <f>COUNTIF($C$12:C1960,"x")</f>
        <v>60</v>
      </c>
      <c r="B1960" s="1451" t="s">
        <v>1414</v>
      </c>
      <c r="C1960" s="966" t="str">
        <f t="shared" si="353"/>
        <v xml:space="preserve"> </v>
      </c>
      <c r="D1960" s="1409">
        <f>(E1775)/1000</f>
        <v>0</v>
      </c>
      <c r="E1960" s="976" t="str">
        <f>VLOOKUP($B1960,DG!A:D,DG!$B$2,)</f>
        <v>06.6105</v>
      </c>
      <c r="F1960" s="981" t="str">
        <f>VLOOKUP($B1960,DG!A:D,DG!$C$2,)</f>
        <v>Kéo dây nhôm lõi thép cỡ dây 70mm2</v>
      </c>
      <c r="G1960" s="976" t="str">
        <f>VLOOKUP($B1960,DG!A:D,DG!$D$2,)</f>
        <v>km</v>
      </c>
      <c r="H1960" s="1695">
        <f t="shared" si="354"/>
        <v>0</v>
      </c>
      <c r="I1960" s="1695"/>
      <c r="J1960" s="1695"/>
      <c r="K1960" s="2980">
        <f>IFERROR(HLOOKUP(B1960,pp3p1m!$1:$3,2,0),0)</f>
        <v>0</v>
      </c>
      <c r="L1960" s="1695"/>
      <c r="M1960" s="1695"/>
      <c r="N1960" s="1695"/>
      <c r="O1960" s="1695"/>
      <c r="P1960" s="1695">
        <f>H1960</f>
        <v>0</v>
      </c>
      <c r="Q1960" s="1689">
        <f t="shared" si="357"/>
        <v>0</v>
      </c>
      <c r="R1960" s="1689">
        <f t="shared" si="358"/>
        <v>0</v>
      </c>
      <c r="S1960" s="985"/>
      <c r="T1960" s="1858">
        <f>IFERROR(HLOOKUP(B1960,pp3p1m!$1:$3,3,0),0)</f>
        <v>0</v>
      </c>
    </row>
    <row r="1961" spans="1:20" ht="22.2" hidden="1" customHeight="1">
      <c r="A1961" s="1444">
        <f>COUNTIF($C$12:C1961,"x")</f>
        <v>60</v>
      </c>
      <c r="B1961" s="1451" t="s">
        <v>1524</v>
      </c>
      <c r="C1961" s="966" t="str">
        <f t="shared" si="353"/>
        <v xml:space="preserve"> </v>
      </c>
      <c r="D1961" s="1409">
        <f>(E1774)/1000</f>
        <v>0</v>
      </c>
      <c r="E1961" s="976" t="str">
        <f>VLOOKUP($B1961,DG!A:D,DG!$B$2,)</f>
        <v>06.6106</v>
      </c>
      <c r="F1961" s="981" t="str">
        <f>VLOOKUP($B1961,DG!A:D,DG!$C$2,)</f>
        <v>Kéo dây nhôm lõi thép cỡ dây 95mm2</v>
      </c>
      <c r="G1961" s="976" t="str">
        <f>VLOOKUP($B1961,DG!A:D,DG!$D$2,)</f>
        <v>km</v>
      </c>
      <c r="H1961" s="1689">
        <f t="shared" si="354"/>
        <v>0</v>
      </c>
      <c r="I1961" s="1689"/>
      <c r="J1961" s="1689"/>
      <c r="K1961" s="1688">
        <f>IFERROR(HLOOKUP(B1961,pp3p1m!$1:$3,2,0),0)</f>
        <v>0</v>
      </c>
      <c r="L1961" s="1689"/>
      <c r="M1961" s="1689"/>
      <c r="N1961" s="1689"/>
      <c r="O1961" s="1689"/>
      <c r="P1961" s="1689">
        <f t="shared" si="356"/>
        <v>0</v>
      </c>
      <c r="Q1961" s="1689">
        <f t="shared" si="357"/>
        <v>0</v>
      </c>
      <c r="R1961" s="1689">
        <f t="shared" si="358"/>
        <v>0</v>
      </c>
      <c r="S1961" s="985"/>
      <c r="T1961" s="1858">
        <f>IFERROR(HLOOKUP(B1961,pp3p1m!$1:$3,3,0),0)</f>
        <v>0</v>
      </c>
    </row>
    <row r="1962" spans="1:20" ht="22.2" hidden="1" customHeight="1">
      <c r="A1962" s="1444">
        <f>COUNTIF($C$12:C1962,"x")</f>
        <v>60</v>
      </c>
      <c r="B1962" s="1451" t="s">
        <v>139</v>
      </c>
      <c r="C1962" s="966" t="str">
        <f t="shared" si="353"/>
        <v xml:space="preserve"> </v>
      </c>
      <c r="D1962" s="1409">
        <f>(E1773)/1000</f>
        <v>0</v>
      </c>
      <c r="E1962" s="976" t="str">
        <f>VLOOKUP($B1962,DG!A:D,DG!$B$2,)</f>
        <v>06.6107</v>
      </c>
      <c r="F1962" s="981" t="str">
        <f>VLOOKUP($B1962,DG!A:D,DG!$C$2,)</f>
        <v>Kéo dây nhôm lõi thép cỡ dây 120mm2</v>
      </c>
      <c r="G1962" s="976" t="str">
        <f>VLOOKUP($B1962,DG!A:D,DG!$D$2,)</f>
        <v>km</v>
      </c>
      <c r="H1962" s="1689">
        <f t="shared" si="354"/>
        <v>0</v>
      </c>
      <c r="I1962" s="1689"/>
      <c r="J1962" s="1689"/>
      <c r="K1962" s="1688">
        <f>IFERROR(HLOOKUP(B1962,pp3p1m!$1:$3,2,0),0)</f>
        <v>0</v>
      </c>
      <c r="L1962" s="1689"/>
      <c r="M1962" s="1689"/>
      <c r="N1962" s="1689"/>
      <c r="O1962" s="1689"/>
      <c r="P1962" s="1689">
        <f t="shared" si="356"/>
        <v>0</v>
      </c>
      <c r="Q1962" s="1689">
        <f t="shared" si="357"/>
        <v>0</v>
      </c>
      <c r="R1962" s="1689">
        <f t="shared" si="358"/>
        <v>0</v>
      </c>
      <c r="S1962" s="985"/>
      <c r="T1962" s="1858">
        <f>IFERROR(HLOOKUP(B1962,pp3p1m!$1:$3,3,0),0)</f>
        <v>0</v>
      </c>
    </row>
    <row r="1963" spans="1:20" ht="22.2" hidden="1" customHeight="1">
      <c r="A1963" s="1444">
        <f>COUNTIF($C$12:C1963,"x")</f>
        <v>60</v>
      </c>
      <c r="B1963" s="1451" t="s">
        <v>791</v>
      </c>
      <c r="C1963" s="966" t="str">
        <f t="shared" si="353"/>
        <v xml:space="preserve"> </v>
      </c>
      <c r="D1963" s="1409">
        <f>(E1772)/1000</f>
        <v>0</v>
      </c>
      <c r="E1963" s="976" t="str">
        <f>VLOOKUP($B1963,DG!A:D,DG!$B$2,)</f>
        <v>06.6108</v>
      </c>
      <c r="F1963" s="981" t="str">
        <f>VLOOKUP($B1963,DG!A:D,DG!$C$2,)</f>
        <v>Kéo dây nhôm lõi thép cỡ dây 150mm2</v>
      </c>
      <c r="G1963" s="976" t="str">
        <f>VLOOKUP($B1963,DG!A:D,DG!$D$2,)</f>
        <v>km</v>
      </c>
      <c r="H1963" s="1689">
        <f t="shared" si="354"/>
        <v>0</v>
      </c>
      <c r="I1963" s="1689"/>
      <c r="J1963" s="1689"/>
      <c r="K1963" s="1688">
        <f>IFERROR(HLOOKUP(B1963,pp3p1m!$1:$3,2,0),0)</f>
        <v>0</v>
      </c>
      <c r="L1963" s="1689"/>
      <c r="M1963" s="1689"/>
      <c r="N1963" s="1689"/>
      <c r="O1963" s="1689"/>
      <c r="P1963" s="1689">
        <f t="shared" si="356"/>
        <v>0</v>
      </c>
      <c r="Q1963" s="1689">
        <f t="shared" si="357"/>
        <v>0</v>
      </c>
      <c r="R1963" s="1689">
        <f t="shared" si="358"/>
        <v>0</v>
      </c>
      <c r="S1963" s="985"/>
      <c r="T1963" s="1858">
        <f>IFERROR(HLOOKUP(B1963,pp3p1m!$1:$3,3,0),0)</f>
        <v>0</v>
      </c>
    </row>
    <row r="1964" spans="1:20" ht="22.2" hidden="1" customHeight="1">
      <c r="A1964" s="1444">
        <f>COUNTIF($C$12:C1964,"x")</f>
        <v>60</v>
      </c>
      <c r="B1964" s="1451" t="s">
        <v>140</v>
      </c>
      <c r="C1964" s="966" t="str">
        <f t="shared" si="353"/>
        <v xml:space="preserve"> </v>
      </c>
      <c r="D1964" s="1409">
        <f>(E1771)/1000</f>
        <v>0</v>
      </c>
      <c r="E1964" s="976" t="str">
        <f>VLOOKUP($B1964,DG!A:D,DG!$B$2,)</f>
        <v>06.6109</v>
      </c>
      <c r="F1964" s="981" t="str">
        <f>VLOOKUP($B1964,DG!A:D,DG!$C$2,)</f>
        <v>Kéo dây nhôm lõi thép cỡ dây 185mm2</v>
      </c>
      <c r="G1964" s="976" t="str">
        <f>VLOOKUP($B1964,DG!A:D,DG!$D$2,)</f>
        <v>km</v>
      </c>
      <c r="H1964" s="1689">
        <f t="shared" si="354"/>
        <v>0</v>
      </c>
      <c r="I1964" s="1689"/>
      <c r="J1964" s="1689"/>
      <c r="K1964" s="1688">
        <f>IFERROR(HLOOKUP(B1964,pp3p1m!$1:$3,2,0),0)</f>
        <v>0</v>
      </c>
      <c r="L1964" s="1689"/>
      <c r="M1964" s="1689"/>
      <c r="N1964" s="1689"/>
      <c r="O1964" s="1689"/>
      <c r="P1964" s="1689">
        <f t="shared" si="356"/>
        <v>0</v>
      </c>
      <c r="Q1964" s="1689">
        <f t="shared" si="357"/>
        <v>0</v>
      </c>
      <c r="R1964" s="1689">
        <f t="shared" si="358"/>
        <v>0</v>
      </c>
      <c r="S1964" s="985"/>
      <c r="T1964" s="1858">
        <f>IFERROR(HLOOKUP(B1964,pp3p1m!$1:$3,3,0),0)</f>
        <v>0</v>
      </c>
    </row>
    <row r="1965" spans="1:20" ht="22.2" hidden="1" customHeight="1">
      <c r="A1965" s="1444">
        <f>COUNTIF($C$12:C1965,"x")</f>
        <v>60</v>
      </c>
      <c r="B1965" s="1451" t="s">
        <v>711</v>
      </c>
      <c r="C1965" s="966" t="str">
        <f t="shared" si="353"/>
        <v xml:space="preserve"> </v>
      </c>
      <c r="D1965" s="1409">
        <f>(E1770)/1000</f>
        <v>0</v>
      </c>
      <c r="E1965" s="976" t="str">
        <f>VLOOKUP($B1965,DG!A:D,DG!$B$2,)</f>
        <v>06.6110</v>
      </c>
      <c r="F1965" s="981" t="str">
        <f>VLOOKUP($B1965,DG!A:D,DG!$C$2,)</f>
        <v>Kéo dây nhôm lõi thép cỡ dây 240mm2</v>
      </c>
      <c r="G1965" s="976" t="str">
        <f>VLOOKUP($B1965,DG!A:D,DG!$D$2,)</f>
        <v>km</v>
      </c>
      <c r="H1965" s="1689">
        <f t="shared" si="354"/>
        <v>0</v>
      </c>
      <c r="I1965" s="1689"/>
      <c r="J1965" s="1689"/>
      <c r="K1965" s="1688">
        <f>IFERROR(HLOOKUP(B1965,pp3p1m!$1:$3,2,0),0)</f>
        <v>0</v>
      </c>
      <c r="L1965" s="1689"/>
      <c r="M1965" s="1689"/>
      <c r="N1965" s="1689"/>
      <c r="O1965" s="1689"/>
      <c r="P1965" s="1689">
        <f t="shared" si="356"/>
        <v>0</v>
      </c>
      <c r="Q1965" s="1689">
        <f t="shared" si="357"/>
        <v>0</v>
      </c>
      <c r="R1965" s="1689">
        <f t="shared" si="358"/>
        <v>0</v>
      </c>
      <c r="S1965" s="985"/>
      <c r="T1965" s="1858">
        <f>IFERROR(HLOOKUP(B1965,pp3p1m!$1:$3,3,0),0)</f>
        <v>0</v>
      </c>
    </row>
    <row r="1966" spans="1:20" ht="22.2" hidden="1" customHeight="1">
      <c r="A1966" s="1444">
        <f>COUNTIF($C$12:C1966,"x")</f>
        <v>60</v>
      </c>
      <c r="B1966" s="1447" t="s">
        <v>366</v>
      </c>
      <c r="C1966" s="1697" t="str">
        <f t="shared" si="353"/>
        <v xml:space="preserve"> </v>
      </c>
      <c r="D1966" s="1409">
        <f>E1777/1000</f>
        <v>0</v>
      </c>
      <c r="E1966" s="976" t="str">
        <f>VLOOKUP($B1966,DG!A:D,DG!$B$2,)</f>
        <v>06.6114</v>
      </c>
      <c r="F1966" s="981" t="str">
        <f>VLOOKUP($B1966,DG!A:D,DG!$C$2,)</f>
        <v>Kéo dây nhôm bọc cỡ dây 50mm2</v>
      </c>
      <c r="G1966" s="976" t="str">
        <f>VLOOKUP($B1966,DG!A:D,DG!$D$2,)</f>
        <v>km</v>
      </c>
      <c r="H1966" s="1689">
        <f t="shared" si="354"/>
        <v>0</v>
      </c>
      <c r="I1966" s="1689"/>
      <c r="J1966" s="1689"/>
      <c r="K1966" s="1688">
        <f>IFERROR(HLOOKUP(B1966,pp3p1m!$1:$3,2,0),0)</f>
        <v>0</v>
      </c>
      <c r="L1966" s="1689"/>
      <c r="M1966" s="1689"/>
      <c r="N1966" s="1689"/>
      <c r="O1966" s="1689"/>
      <c r="P1966" s="1689">
        <f t="shared" si="356"/>
        <v>0</v>
      </c>
      <c r="Q1966" s="1689">
        <f t="shared" si="357"/>
        <v>0</v>
      </c>
      <c r="R1966" s="1689">
        <f t="shared" si="358"/>
        <v>0</v>
      </c>
      <c r="S1966" s="985"/>
      <c r="T1966" s="1858">
        <f>IFERROR(HLOOKUP(B1966,pp3p1m!$1:$3,3,0),0)</f>
        <v>0</v>
      </c>
    </row>
    <row r="1967" spans="1:20" ht="22.2" hidden="1" customHeight="1">
      <c r="A1967" s="1444">
        <f>COUNTIF($C$12:C1967,"x")</f>
        <v>60</v>
      </c>
      <c r="B1967" s="1451" t="s">
        <v>679</v>
      </c>
      <c r="C1967" s="966" t="str">
        <f t="shared" si="353"/>
        <v xml:space="preserve"> </v>
      </c>
      <c r="D1967" s="1409">
        <f>E1789/1000</f>
        <v>0</v>
      </c>
      <c r="E1967" s="976" t="str">
        <f>VLOOKUP($B1967,DG!A:D,DG!$B$2,)</f>
        <v>06.6142</v>
      </c>
      <c r="F1967" s="981" t="str">
        <f>VLOOKUP($B1967,DG!A:D,DG!$C$2,)</f>
        <v>Kéo dây đồng trần 25mm2</v>
      </c>
      <c r="G1967" s="976" t="str">
        <f>VLOOKUP($B1967,DG!A:D,DG!$D$2,)</f>
        <v>km</v>
      </c>
      <c r="H1967" s="1689">
        <f t="shared" si="354"/>
        <v>0</v>
      </c>
      <c r="I1967" s="1689"/>
      <c r="J1967" s="1689"/>
      <c r="K1967" s="1688">
        <f>IFERROR(HLOOKUP(B1967,pp3p1m!$1:$3,2,0),0)</f>
        <v>0</v>
      </c>
      <c r="L1967" s="1689"/>
      <c r="M1967" s="1689"/>
      <c r="N1967" s="1689"/>
      <c r="O1967" s="1689"/>
      <c r="P1967" s="1689">
        <f t="shared" si="356"/>
        <v>0</v>
      </c>
      <c r="Q1967" s="1689">
        <f t="shared" si="357"/>
        <v>0</v>
      </c>
      <c r="R1967" s="1689">
        <f t="shared" si="358"/>
        <v>0</v>
      </c>
      <c r="S1967" s="996"/>
      <c r="T1967" s="1858">
        <f>IFERROR(HLOOKUP(B1967,pp3p1m!$1:$3,3,0),0)</f>
        <v>0</v>
      </c>
    </row>
    <row r="1968" spans="1:20" ht="22.2" hidden="1" customHeight="1">
      <c r="A1968" s="1444">
        <f>COUNTIF($C$12:C1968,"x")</f>
        <v>60</v>
      </c>
      <c r="B1968" s="1451" t="s">
        <v>97</v>
      </c>
      <c r="C1968" s="966" t="str">
        <f t="shared" ref="C1968:C2033" si="363">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4"/>
        <v>0</v>
      </c>
      <c r="I1968" s="1689"/>
      <c r="J1968" s="1689"/>
      <c r="K1968" s="1688">
        <f>IFERROR(HLOOKUP(B1968,pp3p1m!$1:$3,2,0),0)</f>
        <v>0</v>
      </c>
      <c r="L1968" s="1689"/>
      <c r="M1968" s="1689"/>
      <c r="N1968" s="1689"/>
      <c r="O1968" s="1689"/>
      <c r="P1968" s="1689">
        <f t="shared" si="356"/>
        <v>0</v>
      </c>
      <c r="Q1968" s="1689">
        <f t="shared" si="357"/>
        <v>0</v>
      </c>
      <c r="R1968" s="1689">
        <f t="shared" si="358"/>
        <v>0</v>
      </c>
      <c r="S1968" s="996"/>
      <c r="T1968" s="1858">
        <f>IFERROR(HLOOKUP(B1968,pp3p1m!$1:$3,3,0),0)</f>
        <v>0</v>
      </c>
    </row>
    <row r="1969" spans="1:20" ht="22.2" hidden="1" customHeight="1">
      <c r="A1969" s="1444">
        <f>COUNTIF($C$12:C1969,"x")</f>
        <v>60</v>
      </c>
      <c r="B1969" s="1451" t="s">
        <v>252</v>
      </c>
      <c r="C1969" s="966" t="str">
        <f t="shared" si="363"/>
        <v xml:space="preserve"> </v>
      </c>
      <c r="D1969" s="1409">
        <f>E1788/1000</f>
        <v>0</v>
      </c>
      <c r="E1969" s="976" t="str">
        <f>VLOOKUP($B1969,DG!A:D,DG!$B$2,)</f>
        <v>06.6144</v>
      </c>
      <c r="F1969" s="981" t="str">
        <f>VLOOKUP($B1969,DG!A:D,DG!$C$2,)</f>
        <v>Kéo dây đồng bọc 50mm3</v>
      </c>
      <c r="G1969" s="976" t="str">
        <f>VLOOKUP($B1969,DG!A:D,DG!$D$2,)</f>
        <v>km</v>
      </c>
      <c r="H1969" s="1689">
        <f t="shared" si="354"/>
        <v>0</v>
      </c>
      <c r="I1969" s="1689"/>
      <c r="J1969" s="1689"/>
      <c r="K1969" s="1688">
        <f>IFERROR(HLOOKUP(B1969,pp3p1m!$1:$3,2,0),0)</f>
        <v>0</v>
      </c>
      <c r="L1969" s="1689"/>
      <c r="M1969" s="1689"/>
      <c r="N1969" s="1689"/>
      <c r="O1969" s="1689"/>
      <c r="P1969" s="1689">
        <f t="shared" si="356"/>
        <v>0</v>
      </c>
      <c r="Q1969" s="1689">
        <f t="shared" si="357"/>
        <v>0</v>
      </c>
      <c r="R1969" s="1689">
        <f t="shared" si="358"/>
        <v>0</v>
      </c>
      <c r="S1969" s="996"/>
      <c r="T1969" s="1858">
        <f>IFERROR(HLOOKUP(B1969,pp3p1m!$1:$3,3,0),0)</f>
        <v>0</v>
      </c>
    </row>
    <row r="1970" spans="1:20" ht="22.2" hidden="1" customHeight="1">
      <c r="A1970" s="1444">
        <f>COUNTIF($C$12:C1970,"x")</f>
        <v>60</v>
      </c>
      <c r="B1970" s="1456" t="s">
        <v>451</v>
      </c>
      <c r="C1970" s="966" t="str">
        <f t="shared" si="363"/>
        <v xml:space="preserve"> </v>
      </c>
      <c r="D1970" s="1409">
        <f>E1786/1000</f>
        <v>0</v>
      </c>
      <c r="E1970" s="976" t="str">
        <f>VLOOKUP($B1970,DG!A:D,DG!$B$2,)</f>
        <v>06.6124</v>
      </c>
      <c r="F1970" s="981" t="str">
        <f>VLOOKUP($B1970,DG!A:D,DG!$C$2,)</f>
        <v>Kéo dây nhôm bọc 50mm2</v>
      </c>
      <c r="G1970" s="976" t="str">
        <f>VLOOKUP($B1970,DG!A:D,DG!$D$2,)</f>
        <v>km</v>
      </c>
      <c r="H1970" s="1689">
        <f t="shared" si="354"/>
        <v>0</v>
      </c>
      <c r="I1970" s="1689"/>
      <c r="J1970" s="1689"/>
      <c r="K1970" s="1688">
        <f>IFERROR(HLOOKUP(B1970,pp3p1m!$1:$3,2,0),0)</f>
        <v>0</v>
      </c>
      <c r="L1970" s="1689"/>
      <c r="M1970" s="1689"/>
      <c r="N1970" s="1689"/>
      <c r="O1970" s="1689"/>
      <c r="P1970" s="1689">
        <f t="shared" si="356"/>
        <v>0</v>
      </c>
      <c r="Q1970" s="1689">
        <f t="shared" si="357"/>
        <v>0</v>
      </c>
      <c r="R1970" s="1689">
        <f t="shared" si="358"/>
        <v>0</v>
      </c>
      <c r="S1970" s="996"/>
      <c r="T1970" s="1858">
        <f>IFERROR(HLOOKUP(B1970,pp3p1m!$1:$3,3,0),0)</f>
        <v>0</v>
      </c>
    </row>
    <row r="1971" spans="1:20" ht="22.2" hidden="1" customHeight="1">
      <c r="A1971" s="1444">
        <f>COUNTIF($C$12:C1971,"x")</f>
        <v>60</v>
      </c>
      <c r="B1971" s="1456" t="s">
        <v>79</v>
      </c>
      <c r="C1971" s="966" t="str">
        <f t="shared" si="363"/>
        <v xml:space="preserve"> </v>
      </c>
      <c r="D1971" s="1409">
        <f>E1785/1000</f>
        <v>0</v>
      </c>
      <c r="E1971" s="976" t="str">
        <f>VLOOKUP($B1971,DG!A:D,DG!$B$2,)</f>
        <v>06.6105</v>
      </c>
      <c r="F1971" s="981" t="str">
        <f>VLOOKUP($B1971,DG!A:D,DG!$C$2,)</f>
        <v>Kéo dây nhôm bọc 70mm2</v>
      </c>
      <c r="G1971" s="976" t="str">
        <f>VLOOKUP($B1971,DG!A:D,DG!$D$2,)</f>
        <v>km</v>
      </c>
      <c r="H1971" s="1689">
        <f t="shared" si="354"/>
        <v>0</v>
      </c>
      <c r="I1971" s="1689"/>
      <c r="J1971" s="1689"/>
      <c r="K1971" s="1688">
        <f>IFERROR(HLOOKUP(B1971,pp3p1m!$1:$3,2,0),0)</f>
        <v>0</v>
      </c>
      <c r="L1971" s="1689"/>
      <c r="M1971" s="1689"/>
      <c r="N1971" s="1689"/>
      <c r="O1971" s="1689"/>
      <c r="P1971" s="1689">
        <f t="shared" si="356"/>
        <v>0</v>
      </c>
      <c r="Q1971" s="1689">
        <f t="shared" si="357"/>
        <v>0</v>
      </c>
      <c r="R1971" s="1689">
        <f t="shared" si="358"/>
        <v>0</v>
      </c>
      <c r="S1971" s="985"/>
      <c r="T1971" s="1858">
        <f>IFERROR(HLOOKUP(B1971,pp3p1m!$1:$3,3,0),0)</f>
        <v>0</v>
      </c>
    </row>
    <row r="1972" spans="1:20" ht="22.2" hidden="1" customHeight="1">
      <c r="A1972" s="1444">
        <f>COUNTIF($C$12:C1972,"x")</f>
        <v>60</v>
      </c>
      <c r="B1972" s="1456" t="s">
        <v>1509</v>
      </c>
      <c r="C1972" s="966" t="str">
        <f t="shared" si="363"/>
        <v xml:space="preserve"> </v>
      </c>
      <c r="D1972" s="1409">
        <f>E1784/1000</f>
        <v>0</v>
      </c>
      <c r="E1972" s="976" t="str">
        <f>VLOOKUP($B1972,DG!A:D,DG!$B$2,)</f>
        <v>06.6106</v>
      </c>
      <c r="F1972" s="981" t="str">
        <f>VLOOKUP($B1972,DG!A:D,DG!$C$2,)</f>
        <v>Kéo dây nhôm bọc 95mm2</v>
      </c>
      <c r="G1972" s="976" t="str">
        <f>VLOOKUP($B1972,DG!A:D,DG!$D$2,)</f>
        <v>km</v>
      </c>
      <c r="H1972" s="1689">
        <f t="shared" si="354"/>
        <v>0</v>
      </c>
      <c r="I1972" s="1689"/>
      <c r="J1972" s="1689"/>
      <c r="K1972" s="1688">
        <f>IFERROR(HLOOKUP(B1972,pp3p1m!$1:$3,2,0),0)</f>
        <v>0</v>
      </c>
      <c r="L1972" s="1689"/>
      <c r="M1972" s="1689"/>
      <c r="N1972" s="1689"/>
      <c r="O1972" s="1689"/>
      <c r="P1972" s="1689">
        <f t="shared" si="356"/>
        <v>0</v>
      </c>
      <c r="Q1972" s="1689">
        <f t="shared" si="357"/>
        <v>0</v>
      </c>
      <c r="R1972" s="1689">
        <f t="shared" si="358"/>
        <v>0</v>
      </c>
      <c r="S1972" s="985"/>
      <c r="T1972" s="1858">
        <f>IFERROR(HLOOKUP(B1972,pp3p1m!$1:$3,3,0),0)</f>
        <v>0</v>
      </c>
    </row>
    <row r="1973" spans="1:20" ht="22.2" hidden="1" customHeight="1">
      <c r="A1973" s="1444">
        <f>COUNTIF($C$12:C1973,"x")</f>
        <v>60</v>
      </c>
      <c r="B1973" s="1456" t="s">
        <v>1174</v>
      </c>
      <c r="C1973" s="966" t="str">
        <f t="shared" si="363"/>
        <v xml:space="preserve"> </v>
      </c>
      <c r="D1973" s="1409">
        <f>E1783/1000</f>
        <v>0</v>
      </c>
      <c r="E1973" s="976" t="str">
        <f>VLOOKUP($B1973,DG!A:D,DG!$B$2,)</f>
        <v>06.6107</v>
      </c>
      <c r="F1973" s="981" t="str">
        <f>VLOOKUP($B1973,DG!A:D,DG!$C$2,)</f>
        <v>Kéo dây nhôm bọc 120mm2</v>
      </c>
      <c r="G1973" s="976" t="str">
        <f>VLOOKUP($B1973,DG!A:D,DG!$D$2,)</f>
        <v>km</v>
      </c>
      <c r="H1973" s="1689">
        <f t="shared" si="354"/>
        <v>0</v>
      </c>
      <c r="I1973" s="1689"/>
      <c r="J1973" s="1689"/>
      <c r="K1973" s="1688">
        <f>IFERROR(HLOOKUP(B1973,pp3p1m!$1:$3,2,0),0)</f>
        <v>0</v>
      </c>
      <c r="L1973" s="1689"/>
      <c r="M1973" s="1689"/>
      <c r="N1973" s="1689"/>
      <c r="O1973" s="1689"/>
      <c r="P1973" s="1689">
        <f t="shared" si="356"/>
        <v>0</v>
      </c>
      <c r="Q1973" s="1689">
        <f t="shared" si="357"/>
        <v>0</v>
      </c>
      <c r="R1973" s="1689">
        <f t="shared" si="358"/>
        <v>0</v>
      </c>
      <c r="S1973" s="985"/>
      <c r="T1973" s="1858">
        <f>IFERROR(HLOOKUP(B1973,pp3p1m!$1:$3,3,0),0)</f>
        <v>0</v>
      </c>
    </row>
    <row r="1974" spans="1:20" ht="22.2" hidden="1" customHeight="1">
      <c r="A1974" s="1444">
        <f>COUNTIF($C$12:C1974,"x")</f>
        <v>60</v>
      </c>
      <c r="B1974" s="1456" t="s">
        <v>924</v>
      </c>
      <c r="C1974" s="966" t="str">
        <f t="shared" si="363"/>
        <v xml:space="preserve"> </v>
      </c>
      <c r="D1974" s="1409">
        <f>E1782/1000</f>
        <v>0</v>
      </c>
      <c r="E1974" s="976" t="str">
        <f>VLOOKUP($B1974,DG!A:D,DG!$B$2,)</f>
        <v>06.6108</v>
      </c>
      <c r="F1974" s="981" t="str">
        <f>VLOOKUP($B1974,DG!A:D,DG!$C$2,)</f>
        <v>Kéo dây nhôm bọc 150mm2</v>
      </c>
      <c r="G1974" s="976" t="str">
        <f>VLOOKUP($B1974,DG!A:D,DG!$D$2,)</f>
        <v>km</v>
      </c>
      <c r="H1974" s="1689">
        <f t="shared" si="354"/>
        <v>0</v>
      </c>
      <c r="I1974" s="1689"/>
      <c r="J1974" s="1689"/>
      <c r="K1974" s="1688">
        <f>IFERROR(HLOOKUP(B1974,pp3p1m!$1:$3,2,0),0)</f>
        <v>0</v>
      </c>
      <c r="L1974" s="1689"/>
      <c r="M1974" s="1689"/>
      <c r="N1974" s="1689"/>
      <c r="O1974" s="1689"/>
      <c r="P1974" s="1689">
        <f t="shared" si="356"/>
        <v>0</v>
      </c>
      <c r="Q1974" s="1689">
        <f t="shared" si="357"/>
        <v>0</v>
      </c>
      <c r="R1974" s="1689">
        <f t="shared" si="358"/>
        <v>0</v>
      </c>
      <c r="S1974" s="985"/>
      <c r="T1974" s="1858">
        <f>IFERROR(HLOOKUP(B1974,pp3p1m!$1:$3,3,0),0)</f>
        <v>0</v>
      </c>
    </row>
    <row r="1975" spans="1:20" ht="22.2" hidden="1" customHeight="1">
      <c r="A1975" s="1444">
        <f>COUNTIF($C$12:C1975,"x")</f>
        <v>60</v>
      </c>
      <c r="B1975" s="1456" t="s">
        <v>925</v>
      </c>
      <c r="C1975" s="966" t="str">
        <f t="shared" si="363"/>
        <v xml:space="preserve"> </v>
      </c>
      <c r="D1975" s="1409">
        <f>E1781/1000</f>
        <v>0</v>
      </c>
      <c r="E1975" s="976" t="str">
        <f>VLOOKUP($B1975,DG!A:D,DG!$B$2,)</f>
        <v>06.6109</v>
      </c>
      <c r="F1975" s="981" t="str">
        <f>VLOOKUP($B1975,DG!A:D,DG!$C$2,)</f>
        <v>Kéo dây nhôm bọc 185mm2</v>
      </c>
      <c r="G1975" s="976" t="str">
        <f>VLOOKUP($B1975,DG!A:D,DG!$D$2,)</f>
        <v>km</v>
      </c>
      <c r="H1975" s="1689">
        <f t="shared" si="354"/>
        <v>0</v>
      </c>
      <c r="I1975" s="1689"/>
      <c r="J1975" s="1689"/>
      <c r="K1975" s="1688">
        <f>IFERROR(HLOOKUP(B1975,pp3p1m!$1:$3,2,0),0)</f>
        <v>0</v>
      </c>
      <c r="L1975" s="1689"/>
      <c r="M1975" s="1689"/>
      <c r="N1975" s="1689"/>
      <c r="O1975" s="1689"/>
      <c r="P1975" s="1689">
        <f t="shared" si="356"/>
        <v>0</v>
      </c>
      <c r="Q1975" s="1689">
        <f t="shared" si="357"/>
        <v>0</v>
      </c>
      <c r="R1975" s="1689">
        <f t="shared" si="358"/>
        <v>0</v>
      </c>
      <c r="S1975" s="985"/>
      <c r="T1975" s="1858">
        <f>IFERROR(HLOOKUP(B1975,pp3p1m!$1:$3,3,0),0)</f>
        <v>0</v>
      </c>
    </row>
    <row r="1976" spans="1:20" ht="22.2" hidden="1" customHeight="1">
      <c r="A1976" s="1444">
        <f>COUNTIF($C$12:C1976,"x")</f>
        <v>60</v>
      </c>
      <c r="B1976" s="1456" t="s">
        <v>1441</v>
      </c>
      <c r="C1976" s="966" t="str">
        <f t="shared" si="363"/>
        <v xml:space="preserve"> </v>
      </c>
      <c r="D1976" s="1409">
        <f>E1780/1000</f>
        <v>0</v>
      </c>
      <c r="E1976" s="976" t="str">
        <f>VLOOKUP($B1976,DG!A:D,DG!$B$2,)</f>
        <v>06.6110</v>
      </c>
      <c r="F1976" s="981" t="str">
        <f>VLOOKUP($B1976,DG!A:D,DG!$C$2,)</f>
        <v>Kéo dây nhôm bọc 240mm2</v>
      </c>
      <c r="G1976" s="976" t="str">
        <f>VLOOKUP($B1976,DG!A:D,DG!$D$2,)</f>
        <v>km</v>
      </c>
      <c r="H1976" s="1689">
        <f t="shared" si="354"/>
        <v>0</v>
      </c>
      <c r="I1976" s="1689"/>
      <c r="J1976" s="1689"/>
      <c r="K1976" s="1688">
        <f>IFERROR(HLOOKUP(B1976,pp3p1m!$1:$3,2,0),0)</f>
        <v>0</v>
      </c>
      <c r="L1976" s="1689"/>
      <c r="M1976" s="1689"/>
      <c r="N1976" s="1689"/>
      <c r="O1976" s="1689"/>
      <c r="P1976" s="1689">
        <f t="shared" si="356"/>
        <v>0</v>
      </c>
      <c r="Q1976" s="1689">
        <f t="shared" si="357"/>
        <v>0</v>
      </c>
      <c r="R1976" s="1689">
        <f t="shared" si="358"/>
        <v>0</v>
      </c>
      <c r="S1976" s="985"/>
      <c r="T1976" s="1858">
        <f>IFERROR(HLOOKUP(B1976,pp3p1m!$1:$3,3,0),0)</f>
        <v>0</v>
      </c>
    </row>
    <row r="1977" spans="1:20" ht="22.2" hidden="1" customHeight="1">
      <c r="A1977" s="1444">
        <f>COUNTIF($C$12:C1977,"x")</f>
        <v>60</v>
      </c>
      <c r="B1977" s="1451" t="s">
        <v>1507</v>
      </c>
      <c r="C1977" s="966" t="str">
        <f t="shared" si="363"/>
        <v xml:space="preserve"> </v>
      </c>
      <c r="D1977" s="1411"/>
      <c r="E1977" s="976" t="str">
        <f>VLOOKUP($B1977,DG!A:D,DG!$B$2,)</f>
        <v>06.2201</v>
      </c>
      <c r="F1977" s="981" t="s">
        <v>2545</v>
      </c>
      <c r="G1977" s="976" t="str">
        <f>VLOOKUP($B1977,DG!A:D,DG!$D$2,)</f>
        <v>chuỗi</v>
      </c>
      <c r="H1977" s="1689">
        <f t="shared" si="354"/>
        <v>0</v>
      </c>
      <c r="I1977" s="1689"/>
      <c r="J1977" s="1689"/>
      <c r="K1977" s="1688">
        <f>IFERROR(HLOOKUP(B1977,pp3p1m!$1:$3,2,0),0)</f>
        <v>0</v>
      </c>
      <c r="L1977" s="1689"/>
      <c r="M1977" s="1689"/>
      <c r="N1977" s="1689"/>
      <c r="O1977" s="1689"/>
      <c r="P1977" s="1689">
        <f t="shared" si="356"/>
        <v>0</v>
      </c>
      <c r="Q1977" s="1689">
        <f t="shared" si="357"/>
        <v>0</v>
      </c>
      <c r="R1977" s="1689">
        <f t="shared" si="358"/>
        <v>0</v>
      </c>
      <c r="S1977" s="990"/>
      <c r="T1977" s="1858">
        <f>IFERROR(HLOOKUP(B1977,pp3p1m!$1:$3,3,0),0)</f>
        <v>0</v>
      </c>
    </row>
    <row r="1978" spans="1:20" ht="22.2" hidden="1" customHeight="1">
      <c r="A1978" s="1444">
        <f>COUNTIF($C$12:C1978,"x")</f>
        <v>60</v>
      </c>
      <c r="B1978" s="1451" t="s">
        <v>347</v>
      </c>
      <c r="C1978" s="966" t="str">
        <f t="shared" si="363"/>
        <v xml:space="preserve"> </v>
      </c>
      <c r="D1978" s="1411"/>
      <c r="E1978" s="976" t="str">
        <f>VLOOKUP($B1978,DG!A:D,DG!$B$2,)</f>
        <v>06.1115</v>
      </c>
      <c r="F1978" s="981" t="s">
        <v>2546</v>
      </c>
      <c r="G1978" s="976" t="str">
        <f>VLOOKUP($B1978,DG!A:D,DG!$D$2,)</f>
        <v>bộ</v>
      </c>
      <c r="H1978" s="1689">
        <f t="shared" si="354"/>
        <v>0</v>
      </c>
      <c r="I1978" s="1689"/>
      <c r="J1978" s="1689"/>
      <c r="K1978" s="1688">
        <f>IFERROR(HLOOKUP(B1978,pp3p1m!$1:$3,2,0),0)</f>
        <v>0</v>
      </c>
      <c r="L1978" s="1689"/>
      <c r="M1978" s="1689"/>
      <c r="N1978" s="1689"/>
      <c r="O1978" s="1689"/>
      <c r="P1978" s="1689">
        <f t="shared" si="356"/>
        <v>0</v>
      </c>
      <c r="Q1978" s="1689">
        <f t="shared" si="357"/>
        <v>0</v>
      </c>
      <c r="R1978" s="1689">
        <f t="shared" si="358"/>
        <v>0</v>
      </c>
      <c r="S1978" s="985"/>
      <c r="T1978" s="1858">
        <f>IFERROR(HLOOKUP(B1978,pp3p1m!$1:$3,3,0),0)</f>
        <v>0</v>
      </c>
    </row>
    <row r="1979" spans="1:20" ht="22.2" hidden="1" customHeight="1">
      <c r="A1979" s="1444">
        <f>COUNTIF($C$12:C1979,"x")</f>
        <v>60</v>
      </c>
      <c r="B1979" s="1447" t="s">
        <v>347</v>
      </c>
      <c r="C1979" s="1697" t="str">
        <f t="shared" si="363"/>
        <v xml:space="preserve"> </v>
      </c>
      <c r="D1979" s="1411">
        <f>H1816</f>
        <v>0</v>
      </c>
      <c r="E1979" s="976" t="str">
        <f>VLOOKUP($B1979,DG!A:D,DG!$B$2,)</f>
        <v>06.1115</v>
      </c>
      <c r="F1979" s="981" t="str">
        <f>VLOOKUP($B1979,DG!A:D,DG!$C$2,)</f>
        <v>Lắp sứ đứng 24KV</v>
      </c>
      <c r="G1979" s="976" t="str">
        <f>VLOOKUP($B1979,DG!A:D,DG!$D$2,)</f>
        <v>bộ</v>
      </c>
      <c r="H1979" s="1689">
        <f t="shared" si="354"/>
        <v>0</v>
      </c>
      <c r="I1979" s="1689"/>
      <c r="J1979" s="1689"/>
      <c r="K1979" s="1688">
        <f>IFERROR(HLOOKUP(B1979,pp3p1m!$1:$3,2,0),0)</f>
        <v>0</v>
      </c>
      <c r="L1979" s="1689"/>
      <c r="M1979" s="1689"/>
      <c r="N1979" s="1689"/>
      <c r="O1979" s="1689"/>
      <c r="P1979" s="1689">
        <f>H1979</f>
        <v>0</v>
      </c>
      <c r="Q1979" s="1689">
        <f t="shared" si="357"/>
        <v>0</v>
      </c>
      <c r="R1979" s="1689">
        <f t="shared" si="358"/>
        <v>0</v>
      </c>
      <c r="S1979" s="985"/>
      <c r="T1979" s="1858">
        <f>IFERROR(HLOOKUP(B1979,pp3p1m!$1:$3,3,0),0)</f>
        <v>0</v>
      </c>
    </row>
    <row r="1980" spans="1:20" ht="22.2" hidden="1" customHeight="1">
      <c r="A1980" s="1444">
        <f>COUNTIF($C$12:C1980,"x")</f>
        <v>60</v>
      </c>
      <c r="B1980" s="1451" t="s">
        <v>1227</v>
      </c>
      <c r="C1980" s="966" t="str">
        <f t="shared" si="363"/>
        <v xml:space="preserve"> </v>
      </c>
      <c r="D1980" s="1411">
        <f>D1817*0</f>
        <v>0</v>
      </c>
      <c r="E1980" s="976" t="e">
        <f>VLOOKUP($B1980,DG!A:D,DG!$B$2,)</f>
        <v>#N/A</v>
      </c>
      <c r="F1980" s="981" t="e">
        <f>VLOOKUP($B1980,DG!A:D,DG!$C$2,)</f>
        <v>#N/A</v>
      </c>
      <c r="G1980" s="976" t="e">
        <f>VLOOKUP($B1980,DG!A:D,DG!$D$2,)</f>
        <v>#N/A</v>
      </c>
      <c r="H1980" s="1689">
        <f t="shared" si="354"/>
        <v>0</v>
      </c>
      <c r="I1980" s="1689"/>
      <c r="J1980" s="1689"/>
      <c r="K1980" s="1688">
        <f>IFERROR(HLOOKUP(B1980,pp3p1m!$1:$3,2,0),0)</f>
        <v>0</v>
      </c>
      <c r="L1980" s="1689"/>
      <c r="M1980" s="1689"/>
      <c r="N1980" s="1689"/>
      <c r="O1980" s="1689"/>
      <c r="P1980" s="1689">
        <f t="shared" si="356"/>
        <v>0</v>
      </c>
      <c r="Q1980" s="1689">
        <f t="shared" si="357"/>
        <v>0</v>
      </c>
      <c r="R1980" s="1689">
        <f t="shared" si="358"/>
        <v>0</v>
      </c>
      <c r="S1980" s="985"/>
      <c r="T1980" s="1858">
        <f>IFERROR(HLOOKUP(B1980,pp3p1m!$1:$3,3,0),0)</f>
        <v>0</v>
      </c>
    </row>
    <row r="1981" spans="1:20" ht="22.2" hidden="1" customHeight="1">
      <c r="A1981" s="1444">
        <f>COUNTIF($C$12:C1981,"x")</f>
        <v>60</v>
      </c>
      <c r="B1981" s="1451" t="s">
        <v>348</v>
      </c>
      <c r="C1981" s="966" t="str">
        <f t="shared" si="363"/>
        <v xml:space="preserve"> </v>
      </c>
      <c r="D1981" s="1411"/>
      <c r="E1981" s="976" t="str">
        <f>VLOOKUP($B1981,DG!A:D,DG!$B$2,)</f>
        <v>06.3231</v>
      </c>
      <c r="F1981" s="981" t="str">
        <f>VLOOKUP($B1981,DG!A:D,DG!$C$2,)</f>
        <v>Lắp chân sứ đỉnh</v>
      </c>
      <c r="G1981" s="976" t="str">
        <f>VLOOKUP($B1981,DG!A:D,DG!$D$2,)</f>
        <v>cái</v>
      </c>
      <c r="H1981" s="1689">
        <f t="shared" si="354"/>
        <v>0</v>
      </c>
      <c r="I1981" s="1689"/>
      <c r="J1981" s="1689"/>
      <c r="K1981" s="1688">
        <f>IFERROR(HLOOKUP(B1981,pp3p1m!$1:$3,2,0),0)</f>
        <v>0</v>
      </c>
      <c r="L1981" s="1689"/>
      <c r="M1981" s="1689"/>
      <c r="N1981" s="1689"/>
      <c r="O1981" s="1689"/>
      <c r="P1981" s="1689">
        <f t="shared" si="356"/>
        <v>0</v>
      </c>
      <c r="Q1981" s="1689">
        <f t="shared" si="357"/>
        <v>0</v>
      </c>
      <c r="R1981" s="1689">
        <f t="shared" si="358"/>
        <v>0</v>
      </c>
      <c r="S1981" s="985"/>
      <c r="T1981" s="1858">
        <f>IFERROR(HLOOKUP(B1981,pp3p1m!$1:$3,3,0),0)</f>
        <v>0</v>
      </c>
    </row>
    <row r="1982" spans="1:20" ht="22.2" hidden="1" customHeight="1">
      <c r="A1982" s="1444">
        <f>COUNTIF($C$12:C1982,"x")</f>
        <v>60</v>
      </c>
      <c r="B1982" s="1451" t="s">
        <v>349</v>
      </c>
      <c r="C1982" s="966" t="str">
        <f t="shared" si="363"/>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4"/>
        <v>0</v>
      </c>
      <c r="I1982" s="1689"/>
      <c r="J1982" s="1689"/>
      <c r="K1982" s="1688">
        <f>IFERROR(HLOOKUP(B1982,pp3p1m!$1:$3,2,0),0)</f>
        <v>0</v>
      </c>
      <c r="L1982" s="1689"/>
      <c r="M1982" s="1689"/>
      <c r="N1982" s="1689"/>
      <c r="O1982" s="1689"/>
      <c r="P1982" s="1689">
        <f t="shared" si="356"/>
        <v>0</v>
      </c>
      <c r="Q1982" s="1689">
        <f t="shared" si="357"/>
        <v>0</v>
      </c>
      <c r="R1982" s="1689">
        <f t="shared" si="358"/>
        <v>0</v>
      </c>
      <c r="S1982" s="985"/>
      <c r="T1982" s="1858">
        <f>IFERROR(HLOOKUP(B1982,pp3p1m!$1:$3,3,0),0)</f>
        <v>0</v>
      </c>
    </row>
    <row r="1983" spans="1:20" ht="22.2" hidden="1" customHeight="1">
      <c r="A1983" s="1444">
        <f>COUNTIF($C$12:C1983,"x")</f>
        <v>60</v>
      </c>
      <c r="B1983" s="1451" t="s">
        <v>350</v>
      </c>
      <c r="C1983" s="966" t="str">
        <f t="shared" si="363"/>
        <v xml:space="preserve"> </v>
      </c>
      <c r="D1983" s="1411"/>
      <c r="E1983" s="976" t="str">
        <f>VLOOKUP($B1983,DG!A:D,DG!$B$2,)</f>
        <v>06.1511</v>
      </c>
      <c r="F1983" s="981" t="s">
        <v>2547</v>
      </c>
      <c r="G1983" s="976" t="str">
        <f>VLOOKUP($B1983,DG!A:D,DG!$D$2,)</f>
        <v>chuỗi</v>
      </c>
      <c r="H1983" s="1689">
        <f t="shared" si="354"/>
        <v>0</v>
      </c>
      <c r="I1983" s="1689"/>
      <c r="J1983" s="1689"/>
      <c r="K1983" s="1688">
        <f>IFERROR(HLOOKUP(B1983,pp3p1m!$1:$3,2,0),0)</f>
        <v>0</v>
      </c>
      <c r="L1983" s="1689"/>
      <c r="M1983" s="1689"/>
      <c r="N1983" s="1689"/>
      <c r="O1983" s="1689"/>
      <c r="P1983" s="1689">
        <f t="shared" si="356"/>
        <v>0</v>
      </c>
      <c r="Q1983" s="1689">
        <f t="shared" si="357"/>
        <v>0</v>
      </c>
      <c r="R1983" s="1689">
        <f t="shared" si="358"/>
        <v>0</v>
      </c>
      <c r="S1983" s="985"/>
      <c r="T1983" s="1858">
        <f>IFERROR(HLOOKUP(B1983,pp3p1m!$1:$3,3,0),0)</f>
        <v>0</v>
      </c>
    </row>
    <row r="1984" spans="1:20" ht="22.2" hidden="1" customHeight="1">
      <c r="A1984" s="1444">
        <f>COUNTIF($C$12:C1984,"x")</f>
        <v>60</v>
      </c>
      <c r="B1984" s="1451" t="s">
        <v>350</v>
      </c>
      <c r="C1984" s="966" t="str">
        <f t="shared" si="363"/>
        <v xml:space="preserve"> </v>
      </c>
      <c r="D1984" s="1411"/>
      <c r="E1984" s="976" t="str">
        <f>VLOOKUP($B1984,DG!A:D,DG!$B$2,)</f>
        <v>06.1511</v>
      </c>
      <c r="F1984" s="981" t="str">
        <f>VLOOKUP($B1984,DG!A:D,DG!$C$2,)</f>
        <v>Lắp chuỗi sứ néo 2 bát/chuỗi</v>
      </c>
      <c r="G1984" s="976" t="str">
        <f>VLOOKUP($B1984,DG!A:D,DG!$D$2,)</f>
        <v>chuỗi</v>
      </c>
      <c r="H1984" s="1689">
        <f t="shared" si="354"/>
        <v>0</v>
      </c>
      <c r="I1984" s="1689"/>
      <c r="J1984" s="1689"/>
      <c r="K1984" s="1688">
        <f>IFERROR(HLOOKUP(B1984,pp3p1m!$1:$3,2,0),0)</f>
        <v>0</v>
      </c>
      <c r="L1984" s="1689"/>
      <c r="M1984" s="1689"/>
      <c r="N1984" s="1689"/>
      <c r="O1984" s="1689"/>
      <c r="P1984" s="1689">
        <f t="shared" si="356"/>
        <v>0</v>
      </c>
      <c r="Q1984" s="1689">
        <f t="shared" si="357"/>
        <v>0</v>
      </c>
      <c r="R1984" s="1689">
        <f t="shared" si="358"/>
        <v>0</v>
      </c>
      <c r="S1984" s="990"/>
      <c r="T1984" s="1858">
        <f>IFERROR(HLOOKUP(B1984,pp3p1m!$1:$3,3,0),0)</f>
        <v>0</v>
      </c>
    </row>
    <row r="1985" spans="1:20" ht="22.2" hidden="1" customHeight="1">
      <c r="A1985" s="1444">
        <f>COUNTIF($C$12:C1985,"x")</f>
        <v>60</v>
      </c>
      <c r="B1985" s="1447" t="s">
        <v>1507</v>
      </c>
      <c r="C1985" s="1697" t="str">
        <f t="shared" si="363"/>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4"/>
        <v>0</v>
      </c>
      <c r="I1985" s="1689"/>
      <c r="J1985" s="1689"/>
      <c r="K1985" s="1688">
        <f>IFERROR(HLOOKUP(B1985,pp3p1m!$1:$3,2,0),0)</f>
        <v>0</v>
      </c>
      <c r="L1985" s="1689"/>
      <c r="M1985" s="1689"/>
      <c r="N1985" s="1689"/>
      <c r="O1985" s="1689"/>
      <c r="P1985" s="1689">
        <f>H1985</f>
        <v>0</v>
      </c>
      <c r="Q1985" s="1689">
        <f t="shared" si="357"/>
        <v>0</v>
      </c>
      <c r="R1985" s="1689">
        <f t="shared" si="358"/>
        <v>0</v>
      </c>
      <c r="S1985" s="990"/>
      <c r="T1985" s="1858">
        <f>IFERROR(HLOOKUP(B1985,pp3p1m!$1:$3,3,0),0)</f>
        <v>0</v>
      </c>
    </row>
    <row r="1986" spans="1:20" ht="22.2" hidden="1" customHeight="1">
      <c r="A1986" s="1444">
        <f>COUNTIF($C$12:C1986,"x")</f>
        <v>60</v>
      </c>
      <c r="B1986" s="1451" t="s">
        <v>6422</v>
      </c>
      <c r="C1986" s="966" t="str">
        <f t="shared" si="363"/>
        <v xml:space="preserve"> </v>
      </c>
      <c r="D1986" s="1411"/>
      <c r="E1986" s="976" t="e">
        <f>VLOOKUP($B1986,DG!A:D,DG!$B$2,)</f>
        <v>#N/A</v>
      </c>
      <c r="F1986" s="988" t="e">
        <f>"Tháo "&amp;VLOOKUP($B1986,DG!A:D,DG!$C$2,)&amp;" hiện hữu sử dụng lại"</f>
        <v>#N/A</v>
      </c>
      <c r="G1986" s="976" t="e">
        <f>VLOOKUP($B1986,DG!A:D,DG!$D$2,)</f>
        <v>#N/A</v>
      </c>
      <c r="H1986" s="1689">
        <f t="shared" si="354"/>
        <v>0</v>
      </c>
      <c r="I1986" s="1689"/>
      <c r="J1986" s="1689"/>
      <c r="K1986" s="1688">
        <f>IFERROR(HLOOKUP(B1986,pp3p1m!$1:$3,2,0),0)</f>
        <v>0</v>
      </c>
      <c r="L1986" s="1689"/>
      <c r="M1986" s="1689"/>
      <c r="N1986" s="1689"/>
      <c r="O1986" s="1689"/>
      <c r="P1986" s="1689">
        <f t="shared" si="356"/>
        <v>0</v>
      </c>
      <c r="Q1986" s="1689">
        <f t="shared" si="357"/>
        <v>0</v>
      </c>
      <c r="R1986" s="1689">
        <f t="shared" si="358"/>
        <v>0</v>
      </c>
      <c r="S1986" s="990"/>
      <c r="T1986" s="1858">
        <f>IFERROR(HLOOKUP(B1986,pp3p1m!$1:$3,3,0),0)</f>
        <v>0</v>
      </c>
    </row>
    <row r="1987" spans="1:20" ht="22.2" hidden="1" customHeight="1">
      <c r="A1987" s="1444">
        <f>COUNTIF($C$12:C1987,"x")</f>
        <v>60</v>
      </c>
      <c r="B1987" s="1451"/>
      <c r="C1987" s="966" t="str">
        <f t="shared" si="363"/>
        <v xml:space="preserve"> </v>
      </c>
      <c r="D1987" s="1411"/>
      <c r="E1987" s="976" t="e">
        <f>VLOOKUP($B1987,DG!A:D,DG!$B$2,)</f>
        <v>#N/A</v>
      </c>
      <c r="F1987" s="988" t="e">
        <f>"Thaùo "&amp;VLOOKUP($B1987,DG!A:D,DG!$C$2,)</f>
        <v>#N/A</v>
      </c>
      <c r="G1987" s="976" t="e">
        <f>VLOOKUP($B1987,DG!A:D,DG!$D$2,)</f>
        <v>#N/A</v>
      </c>
      <c r="H1987" s="1689">
        <f t="shared" si="354"/>
        <v>0</v>
      </c>
      <c r="I1987" s="1689"/>
      <c r="J1987" s="1689"/>
      <c r="K1987" s="1688">
        <f>IFERROR(HLOOKUP(B1987,pp3p1m!$1:$3,2,0),0)</f>
        <v>0</v>
      </c>
      <c r="L1987" s="1689"/>
      <c r="M1987" s="1689"/>
      <c r="N1987" s="1689"/>
      <c r="O1987" s="1689"/>
      <c r="P1987" s="1689">
        <f t="shared" si="356"/>
        <v>0</v>
      </c>
      <c r="Q1987" s="1689">
        <f t="shared" si="357"/>
        <v>0</v>
      </c>
      <c r="R1987" s="1689">
        <f t="shared" si="358"/>
        <v>0</v>
      </c>
      <c r="S1987" s="990"/>
      <c r="T1987" s="1858">
        <f>IFERROR(HLOOKUP(B1987,pp3p1m!$1:$3,3,0),0)</f>
        <v>0</v>
      </c>
    </row>
    <row r="1988" spans="1:20" ht="22.2" hidden="1" customHeight="1">
      <c r="A1988" s="1444">
        <f>COUNTIF($C$12:C1988,"x")</f>
        <v>60</v>
      </c>
      <c r="B1988" s="1451"/>
      <c r="C1988" s="966" t="str">
        <f t="shared" si="363"/>
        <v xml:space="preserve"> </v>
      </c>
      <c r="D1988" s="1411"/>
      <c r="E1988" s="976" t="e">
        <f>VLOOKUP($B1988,DG!A:D,DG!$B$2,)</f>
        <v>#N/A</v>
      </c>
      <c r="F1988" s="988" t="e">
        <f>"Lắp "&amp;VLOOKUP($B1988,DG!A:D,DG!$C$2,)</f>
        <v>#N/A</v>
      </c>
      <c r="G1988" s="976" t="e">
        <f>VLOOKUP($B1988,DG!A:D,DG!$D$2,)</f>
        <v>#N/A</v>
      </c>
      <c r="H1988" s="1689">
        <f t="shared" si="354"/>
        <v>0</v>
      </c>
      <c r="I1988" s="1689"/>
      <c r="J1988" s="1689"/>
      <c r="K1988" s="1688">
        <f>IFERROR(HLOOKUP(B1988,pp3p1m!$1:$3,2,0),0)</f>
        <v>0</v>
      </c>
      <c r="L1988" s="1689"/>
      <c r="M1988" s="1689"/>
      <c r="N1988" s="1689"/>
      <c r="O1988" s="1689"/>
      <c r="P1988" s="1689">
        <f t="shared" si="356"/>
        <v>0</v>
      </c>
      <c r="Q1988" s="1689">
        <f t="shared" si="357"/>
        <v>0</v>
      </c>
      <c r="R1988" s="1689">
        <f t="shared" si="358"/>
        <v>0</v>
      </c>
      <c r="S1988" s="990"/>
      <c r="T1988" s="1858">
        <f>IFERROR(HLOOKUP(B1988,pp3p1m!$1:$3,3,0),0)</f>
        <v>0</v>
      </c>
    </row>
    <row r="1989" spans="1:20" ht="22.2" hidden="1" customHeight="1">
      <c r="A1989" s="1444">
        <f>COUNTIF($C$12:C1989,"x")</f>
        <v>60</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4"/>
        <v>0</v>
      </c>
      <c r="I1989" s="1689"/>
      <c r="J1989" s="1689"/>
      <c r="K1989" s="1688">
        <f>IFERROR(HLOOKUP(B1989,pp3p1m!$1:$3,2,0),0)</f>
        <v>0</v>
      </c>
      <c r="L1989" s="1689"/>
      <c r="M1989" s="1689"/>
      <c r="N1989" s="1689"/>
      <c r="O1989" s="1689"/>
      <c r="P1989" s="1784">
        <f t="shared" si="356"/>
        <v>0</v>
      </c>
      <c r="Q1989" s="1689">
        <f t="shared" si="357"/>
        <v>0</v>
      </c>
      <c r="R1989" s="1689">
        <f t="shared" si="358"/>
        <v>0</v>
      </c>
      <c r="S1989" s="990"/>
      <c r="T1989" s="1858">
        <f>IFERROR(HLOOKUP(B1989,pp3p1m!$1:$3,3,0),0)</f>
        <v>0</v>
      </c>
    </row>
    <row r="1990" spans="1:20" ht="22.2" hidden="1" customHeight="1">
      <c r="A1990" s="1444">
        <f>COUNTIF($C$12:C1990,"x")</f>
        <v>60</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4"/>
        <v>0</v>
      </c>
      <c r="I1990" s="1689"/>
      <c r="J1990" s="1689"/>
      <c r="K1990" s="1688">
        <f>IFERROR(HLOOKUP(B1990,pp3p1m!$1:$3,2,0),0)</f>
        <v>0</v>
      </c>
      <c r="L1990" s="1689"/>
      <c r="M1990" s="1689"/>
      <c r="N1990" s="1689"/>
      <c r="O1990" s="1689"/>
      <c r="P1990" s="1784">
        <f t="shared" si="356"/>
        <v>0</v>
      </c>
      <c r="Q1990" s="1689">
        <f t="shared" si="357"/>
        <v>0</v>
      </c>
      <c r="R1990" s="1689">
        <f t="shared" si="358"/>
        <v>0</v>
      </c>
      <c r="S1990" s="990"/>
      <c r="T1990" s="1858">
        <f>IFERROR(HLOOKUP(B1990,pp3p1m!$1:$3,3,0),0)</f>
        <v>0</v>
      </c>
    </row>
    <row r="1991" spans="1:20" ht="22.2" hidden="1" customHeight="1">
      <c r="A1991" s="1444">
        <f>COUNTIF($C$12:C1991,"x")</f>
        <v>60</v>
      </c>
      <c r="B1991" s="1451"/>
      <c r="C1991" s="966" t="str">
        <f t="shared" si="363"/>
        <v xml:space="preserve"> </v>
      </c>
      <c r="D1991" s="1411"/>
      <c r="E1991" s="976" t="e">
        <f>VLOOKUP($B1991,DG!A:D,DG!$B$2,)</f>
        <v>#N/A</v>
      </c>
      <c r="F1991" s="988" t="e">
        <f>"Lắp "&amp;VLOOKUP($B1991,DG!A:D,DG!$C$2,)</f>
        <v>#N/A</v>
      </c>
      <c r="G1991" s="976" t="e">
        <f>VLOOKUP($B1991,DG!A:D,DG!$D$2,)</f>
        <v>#N/A</v>
      </c>
      <c r="H1991" s="1689">
        <f t="shared" si="354"/>
        <v>0</v>
      </c>
      <c r="I1991" s="1689"/>
      <c r="J1991" s="1689"/>
      <c r="K1991" s="1688">
        <f>IFERROR(HLOOKUP(B1991,pp3p1m!$1:$3,2,0),0)</f>
        <v>0</v>
      </c>
      <c r="L1991" s="1689"/>
      <c r="M1991" s="1689"/>
      <c r="N1991" s="1689"/>
      <c r="O1991" s="1689"/>
      <c r="P1991" s="1784">
        <f t="shared" si="356"/>
        <v>0</v>
      </c>
      <c r="Q1991" s="1689">
        <f t="shared" si="357"/>
        <v>0</v>
      </c>
      <c r="R1991" s="1689">
        <f t="shared" si="358"/>
        <v>0</v>
      </c>
      <c r="S1991" s="990"/>
      <c r="T1991" s="1858">
        <f>IFERROR(HLOOKUP(B1991,pp3p1m!$1:$3,3,0),0)</f>
        <v>0</v>
      </c>
    </row>
    <row r="1992" spans="1:20" ht="22.2" hidden="1" customHeight="1">
      <c r="A1992" s="1444">
        <f>COUNTIF($C$12:C1992,"x")</f>
        <v>60</v>
      </c>
      <c r="B1992" s="1451" t="s">
        <v>147</v>
      </c>
      <c r="C1992" s="966" t="str">
        <f t="shared" si="363"/>
        <v xml:space="preserve"> </v>
      </c>
      <c r="D1992" s="1411"/>
      <c r="E1992" s="976" t="str">
        <f>VLOOKUP($B1992,DG!A:D,DG!$B$2,)</f>
        <v>05.6001</v>
      </c>
      <c r="F1992" s="981" t="s">
        <v>2548</v>
      </c>
      <c r="G1992" s="976" t="str">
        <f>VLOOKUP($B1992,DG!A:D,DG!$D$2,)</f>
        <v>Kg</v>
      </c>
      <c r="H1992" s="1689">
        <f t="shared" si="354"/>
        <v>0</v>
      </c>
      <c r="I1992" s="1689"/>
      <c r="J1992" s="1689"/>
      <c r="K1992" s="1688">
        <f>IFERROR(HLOOKUP(B1992,pp3p1m!$1:$3,2,0),0)</f>
        <v>0</v>
      </c>
      <c r="L1992" s="1689"/>
      <c r="M1992" s="1689"/>
      <c r="N1992" s="1689"/>
      <c r="O1992" s="1689"/>
      <c r="P1992" s="1784">
        <f>H1992</f>
        <v>0</v>
      </c>
      <c r="Q1992" s="1689">
        <f t="shared" si="357"/>
        <v>0</v>
      </c>
      <c r="R1992" s="1689">
        <f t="shared" si="358"/>
        <v>0</v>
      </c>
      <c r="S1992" s="985"/>
      <c r="T1992" s="1858">
        <f>IFERROR(HLOOKUP(B1992,pp3p1m!$1:$3,3,0),0)</f>
        <v>0</v>
      </c>
    </row>
    <row r="1993" spans="1:20" ht="22.2" hidden="1" customHeight="1">
      <c r="A1993" s="1444">
        <f>COUNTIF($C$12:C1993,"x")</f>
        <v>60</v>
      </c>
      <c r="B1993" s="1451" t="s">
        <v>1645</v>
      </c>
      <c r="C1993" s="966" t="str">
        <f t="shared" si="363"/>
        <v xml:space="preserve"> </v>
      </c>
      <c r="D1993" s="1411"/>
      <c r="E1993" s="976" t="str">
        <f>VLOOKUP($B1993,DG!A:D,DG!$B$2,)</f>
        <v>05.6100</v>
      </c>
      <c r="F1993" s="981" t="str">
        <f>"Lắp "&amp;VLOOKUP($B1993,DG!A:D,DG!$C$2,)</f>
        <v>Lắp Giá U 80x600 lắp FCO</v>
      </c>
      <c r="G1993" s="976" t="str">
        <f>VLOOKUP($B1993,DG!A:D,DG!$D$2,)</f>
        <v>bộ</v>
      </c>
      <c r="H1993" s="1689">
        <f t="shared" si="354"/>
        <v>0</v>
      </c>
      <c r="I1993" s="1689"/>
      <c r="J1993" s="1689"/>
      <c r="K1993" s="1688">
        <f>IFERROR(HLOOKUP(B1993,pp3p1m!$1:$3,2,0),0)</f>
        <v>0</v>
      </c>
      <c r="L1993" s="1689"/>
      <c r="M1993" s="1689"/>
      <c r="N1993" s="1689"/>
      <c r="O1993" s="1689"/>
      <c r="P1993" s="1784">
        <f t="shared" ref="P1993:P2009" si="364">H1993</f>
        <v>0</v>
      </c>
      <c r="Q1993" s="1689">
        <f t="shared" si="357"/>
        <v>0</v>
      </c>
      <c r="R1993" s="1689">
        <f t="shared" si="358"/>
        <v>0</v>
      </c>
      <c r="S1993" s="985"/>
      <c r="T1993" s="1858">
        <f>IFERROR(HLOOKUP(B1993,pp3p1m!$1:$3,3,0),0)</f>
        <v>0</v>
      </c>
    </row>
    <row r="1994" spans="1:20" ht="22.2" hidden="1" customHeight="1">
      <c r="A1994" s="1444">
        <f>COUNTIF($C$12:C1994,"x")</f>
        <v>60</v>
      </c>
      <c r="B1994" s="1451" t="s">
        <v>348</v>
      </c>
      <c r="C1994" s="966" t="str">
        <f t="shared" si="363"/>
        <v xml:space="preserve"> </v>
      </c>
      <c r="D1994" s="1411"/>
      <c r="E1994" s="976" t="str">
        <f>VLOOKUP($B1994,DG!A:D,DG!$B$2,)</f>
        <v>06.3231</v>
      </c>
      <c r="F1994" s="981" t="s">
        <v>2549</v>
      </c>
      <c r="G1994" s="976" t="str">
        <f>VLOOKUP($B1994,DG!A:D,DG!$D$2,)</f>
        <v>cái</v>
      </c>
      <c r="H1994" s="1689">
        <f t="shared" si="354"/>
        <v>0</v>
      </c>
      <c r="I1994" s="1689"/>
      <c r="J1994" s="1689"/>
      <c r="K1994" s="1688">
        <f>IFERROR(HLOOKUP(B1994,pp3p1m!$1:$3,2,0),0)</f>
        <v>0</v>
      </c>
      <c r="L1994" s="1689"/>
      <c r="M1994" s="1689"/>
      <c r="N1994" s="1689"/>
      <c r="O1994" s="1689"/>
      <c r="P1994" s="1784">
        <f t="shared" si="364"/>
        <v>0</v>
      </c>
      <c r="Q1994" s="1689">
        <f t="shared" si="357"/>
        <v>0</v>
      </c>
      <c r="R1994" s="1689">
        <f t="shared" si="358"/>
        <v>0</v>
      </c>
      <c r="S1994" s="985"/>
      <c r="T1994" s="1858">
        <f>IFERROR(HLOOKUP(B1994,pp3p1m!$1:$3,3,0),0)</f>
        <v>0</v>
      </c>
    </row>
    <row r="1995" spans="1:20" ht="22.2" hidden="1" customHeight="1">
      <c r="A1995" s="1444">
        <f>COUNTIF($C$12:C1995,"x")</f>
        <v>60</v>
      </c>
      <c r="B1995" s="1451" t="s">
        <v>1906</v>
      </c>
      <c r="C1995" s="966" t="str">
        <f t="shared" si="363"/>
        <v xml:space="preserve"> </v>
      </c>
      <c r="D1995" s="1411"/>
      <c r="E1995" s="976" t="str">
        <f>VLOOKUP($B1995,DG!A:D,DG!$B$2,)</f>
        <v>05.6011</v>
      </c>
      <c r="F1995" s="981" t="s">
        <v>2550</v>
      </c>
      <c r="G1995" s="976" t="str">
        <f>VLOOKUP($B1995,DG!A:D,DG!$D$2,)</f>
        <v>bộ</v>
      </c>
      <c r="H1995" s="1689">
        <f t="shared" si="354"/>
        <v>0</v>
      </c>
      <c r="I1995" s="1689"/>
      <c r="J1995" s="1689"/>
      <c r="K1995" s="1688">
        <f>IFERROR(HLOOKUP(B1995,pp3p1m!$1:$3,2,0),0)</f>
        <v>0</v>
      </c>
      <c r="L1995" s="1689"/>
      <c r="M1995" s="1689"/>
      <c r="N1995" s="1689"/>
      <c r="O1995" s="1689"/>
      <c r="P1995" s="1784">
        <f t="shared" si="364"/>
        <v>0</v>
      </c>
      <c r="Q1995" s="1689">
        <f t="shared" si="357"/>
        <v>0</v>
      </c>
      <c r="R1995" s="1689">
        <f t="shared" si="358"/>
        <v>0</v>
      </c>
      <c r="S1995" s="985"/>
      <c r="T1995" s="1858">
        <f>IFERROR(HLOOKUP(B1995,pp3p1m!$1:$3,3,0),0)</f>
        <v>0</v>
      </c>
    </row>
    <row r="1996" spans="1:20" ht="22.2" hidden="1" customHeight="1">
      <c r="A1996" s="1444">
        <f>COUNTIF($C$12:C1996,"x")</f>
        <v>60</v>
      </c>
      <c r="B1996" s="1451" t="s">
        <v>351</v>
      </c>
      <c r="C1996" s="966" t="str">
        <f t="shared" si="363"/>
        <v xml:space="preserve"> </v>
      </c>
      <c r="D1996" s="1411"/>
      <c r="E1996" s="976" t="str">
        <f>VLOOKUP($B1996,DG!A:D,DG!$B$2,)</f>
        <v>06.1211</v>
      </c>
      <c r="F1996" s="981" t="s">
        <v>2551</v>
      </c>
      <c r="G1996" s="976" t="str">
        <f>VLOOKUP($B1996,DG!A:D,DG!$D$2,)</f>
        <v>bộ</v>
      </c>
      <c r="H1996" s="1689">
        <f t="shared" si="354"/>
        <v>0</v>
      </c>
      <c r="I1996" s="1689"/>
      <c r="J1996" s="1689"/>
      <c r="K1996" s="1688">
        <f>IFERROR(HLOOKUP(B1996,pp3p1m!$1:$3,2,0),0)</f>
        <v>0</v>
      </c>
      <c r="L1996" s="1689"/>
      <c r="M1996" s="1689"/>
      <c r="N1996" s="1689"/>
      <c r="O1996" s="1689"/>
      <c r="P1996" s="1784">
        <f t="shared" si="364"/>
        <v>0</v>
      </c>
      <c r="Q1996" s="1689">
        <f t="shared" si="357"/>
        <v>0</v>
      </c>
      <c r="R1996" s="1689">
        <f t="shared" si="358"/>
        <v>0</v>
      </c>
      <c r="S1996" s="985"/>
      <c r="T1996" s="1858">
        <f>IFERROR(HLOOKUP(B1996,pp3p1m!$1:$3,3,0),0)</f>
        <v>0</v>
      </c>
    </row>
    <row r="1997" spans="1:20" ht="22.2" hidden="1" customHeight="1">
      <c r="A1997" s="1444">
        <f>COUNTIF($C$12:C1997,"x")</f>
        <v>60</v>
      </c>
      <c r="B1997" s="1447" t="s">
        <v>351</v>
      </c>
      <c r="C1997" s="966" t="str">
        <f t="shared" si="363"/>
        <v xml:space="preserve"> </v>
      </c>
      <c r="D1997" s="2042"/>
      <c r="E1997" s="976" t="str">
        <f>VLOOKUP($B1997,DG!A:D,DG!$B$2,)</f>
        <v>06.1211</v>
      </c>
      <c r="F1997" s="981" t="str">
        <f>VLOOKUP($B1997,DG!A:D,DG!$C$2,)</f>
        <v>Lắp rack sứ + sứ ống chỉ</v>
      </c>
      <c r="G1997" s="976" t="str">
        <f>VLOOKUP($B1997,DG!A:D,DG!$D$2,)</f>
        <v>bộ</v>
      </c>
      <c r="H1997" s="1689">
        <f t="shared" ref="H1997:H2009" si="365">IF(D1997&gt;0,D1997,K1997)</f>
        <v>0</v>
      </c>
      <c r="I1997" s="1689"/>
      <c r="J1997" s="1689"/>
      <c r="K1997" s="1688">
        <f>IFERROR(HLOOKUP(B1997,pp3p1m!$1:$3,2,0),0)</f>
        <v>0</v>
      </c>
      <c r="L1997" s="1689"/>
      <c r="M1997" s="1689"/>
      <c r="N1997" s="1689"/>
      <c r="O1997" s="1689"/>
      <c r="P1997" s="1784">
        <f t="shared" si="364"/>
        <v>0</v>
      </c>
      <c r="Q1997" s="1689">
        <f t="shared" si="357"/>
        <v>0</v>
      </c>
      <c r="R1997" s="1689">
        <f t="shared" si="358"/>
        <v>0</v>
      </c>
      <c r="S1997" s="985"/>
      <c r="T1997" s="1858">
        <f>IFERROR(HLOOKUP(B1997,pp3p1m!$1:$3,3,0),0)</f>
        <v>0</v>
      </c>
    </row>
    <row r="1998" spans="1:20" ht="22.2" hidden="1" customHeight="1">
      <c r="A1998" s="1444">
        <f>COUNTIF($C$12:C1998,"x")</f>
        <v>60</v>
      </c>
      <c r="B1998" s="1451" t="s">
        <v>324</v>
      </c>
      <c r="C1998" s="966" t="str">
        <f t="shared" si="363"/>
        <v xml:space="preserve"> </v>
      </c>
      <c r="D1998" s="1411">
        <f>D1947</f>
        <v>0</v>
      </c>
      <c r="E1998" s="976" t="str">
        <f>VLOOKUP($B1998,DG!A:D,DG!$B$2,)</f>
        <v>06.1213</v>
      </c>
      <c r="F1998" s="981" t="str">
        <f>VLOOKUP($B1998,DG!A:D,DG!$C$2,)</f>
        <v>Lắp rack 2 sứ + sứ ống chỉ</v>
      </c>
      <c r="G1998" s="976" t="str">
        <f>VLOOKUP($B1998,DG!A:D,DG!$D$2,)</f>
        <v>bộ</v>
      </c>
      <c r="H1998" s="1689">
        <f t="shared" si="365"/>
        <v>0</v>
      </c>
      <c r="I1998" s="1689"/>
      <c r="J1998" s="1689"/>
      <c r="K1998" s="1688">
        <f>IFERROR(HLOOKUP(B1998,pp3p1m!$1:$3,2,0),0)</f>
        <v>0</v>
      </c>
      <c r="L1998" s="1689"/>
      <c r="M1998" s="1689"/>
      <c r="N1998" s="1689"/>
      <c r="O1998" s="1689"/>
      <c r="P1998" s="1784">
        <f t="shared" si="364"/>
        <v>0</v>
      </c>
      <c r="Q1998" s="1689">
        <f t="shared" si="357"/>
        <v>0</v>
      </c>
      <c r="R1998" s="1689">
        <f t="shared" si="358"/>
        <v>0</v>
      </c>
      <c r="S1998" s="985"/>
      <c r="T1998" s="1858">
        <f>IFERROR(HLOOKUP(B1998,pp3p1m!$1:$3,3,0),0)</f>
        <v>0</v>
      </c>
    </row>
    <row r="1999" spans="1:20" ht="22.2" hidden="1" customHeight="1">
      <c r="A1999" s="1444">
        <f>COUNTIF($C$12:C1999,"x")</f>
        <v>60</v>
      </c>
      <c r="B1999" s="1451" t="s">
        <v>41</v>
      </c>
      <c r="C1999" s="966" t="str">
        <f t="shared" si="363"/>
        <v xml:space="preserve"> </v>
      </c>
      <c r="D1999" s="1411"/>
      <c r="E1999" s="976" t="str">
        <f>VLOOKUP($B1999,DG!A:D,DG!$B$2,)</f>
        <v>06.1214</v>
      </c>
      <c r="F1999" s="981" t="s">
        <v>2552</v>
      </c>
      <c r="G1999" s="976" t="str">
        <f>VLOOKUP($B1999,DG!A:D,DG!$D$2,)</f>
        <v>bộ</v>
      </c>
      <c r="H1999" s="1689">
        <f t="shared" si="365"/>
        <v>0</v>
      </c>
      <c r="I1999" s="1689"/>
      <c r="J1999" s="1689"/>
      <c r="K1999" s="1688">
        <f>IFERROR(HLOOKUP(B1999,pp3p1m!$1:$3,2,0),0)</f>
        <v>0</v>
      </c>
      <c r="L1999" s="1689"/>
      <c r="M1999" s="1689"/>
      <c r="N1999" s="1689"/>
      <c r="O1999" s="1689"/>
      <c r="P1999" s="1784">
        <f t="shared" si="364"/>
        <v>0</v>
      </c>
      <c r="Q1999" s="1689">
        <f t="shared" si="357"/>
        <v>0</v>
      </c>
      <c r="R1999" s="1689">
        <f t="shared" si="358"/>
        <v>0</v>
      </c>
      <c r="S1999" s="985"/>
      <c r="T1999" s="1858">
        <f>IFERROR(HLOOKUP(B1999,pp3p1m!$1:$3,3,0),0)</f>
        <v>0</v>
      </c>
    </row>
    <row r="2000" spans="1:20" ht="22.2" hidden="1" customHeight="1">
      <c r="A2000" s="1444">
        <f>COUNTIF($C$12:C2000,"x")</f>
        <v>60</v>
      </c>
      <c r="B2000" s="1451" t="s">
        <v>42</v>
      </c>
      <c r="C2000" s="966" t="str">
        <f t="shared" si="363"/>
        <v xml:space="preserve"> </v>
      </c>
      <c r="D2000" s="1411"/>
      <c r="E2000" s="976" t="str">
        <f>VLOOKUP($B2000,DG!A:D,DG!$B$2,)</f>
        <v>06.1214</v>
      </c>
      <c r="F2000" s="981" t="str">
        <f>VLOOKUP($B2000,DG!A:D,DG!$C$2,)</f>
        <v>Lắp rack 3 sứ + sứ ống chỉ</v>
      </c>
      <c r="G2000" s="976" t="str">
        <f>VLOOKUP($B2000,DG!A:D,DG!$D$2,)</f>
        <v>bộ</v>
      </c>
      <c r="H2000" s="1689">
        <f t="shared" si="365"/>
        <v>0</v>
      </c>
      <c r="I2000" s="1689"/>
      <c r="J2000" s="1689"/>
      <c r="K2000" s="1688">
        <f>IFERROR(HLOOKUP(B2000,pp3p1m!$1:$3,2,0),0)</f>
        <v>0</v>
      </c>
      <c r="L2000" s="1689"/>
      <c r="M2000" s="1689"/>
      <c r="N2000" s="1689"/>
      <c r="O2000" s="1689"/>
      <c r="P2000" s="1784">
        <f t="shared" si="364"/>
        <v>0</v>
      </c>
      <c r="Q2000" s="1689">
        <f t="shared" si="357"/>
        <v>0</v>
      </c>
      <c r="R2000" s="1689">
        <f t="shared" si="358"/>
        <v>0</v>
      </c>
      <c r="S2000" s="985"/>
      <c r="T2000" s="1858">
        <f>IFERROR(HLOOKUP(B2000,pp3p1m!$1:$3,3,0),0)</f>
        <v>0</v>
      </c>
    </row>
    <row r="2001" spans="1:20" ht="22.2" hidden="1" customHeight="1">
      <c r="A2001" s="1444">
        <f>COUNTIF($C$12:C2001,"x")</f>
        <v>60</v>
      </c>
      <c r="B2001" s="1451" t="s">
        <v>509</v>
      </c>
      <c r="C2001" s="966" t="str">
        <f t="shared" si="363"/>
        <v xml:space="preserve"> </v>
      </c>
      <c r="D2001" s="1411"/>
      <c r="E2001" s="976" t="str">
        <f>VLOOKUP($B2001,DG!A:D,DG!$B$2,)</f>
        <v>06.1215</v>
      </c>
      <c r="F2001" s="981" t="s">
        <v>2553</v>
      </c>
      <c r="G2001" s="976" t="str">
        <f>VLOOKUP($B2001,DG!A:D,DG!$D$2,)</f>
        <v>bộ</v>
      </c>
      <c r="H2001" s="1689">
        <f t="shared" si="365"/>
        <v>0</v>
      </c>
      <c r="I2001" s="1689"/>
      <c r="J2001" s="1689"/>
      <c r="K2001" s="1688">
        <f>IFERROR(HLOOKUP(B2001,pp3p1m!$1:$3,2,0),0)</f>
        <v>0</v>
      </c>
      <c r="L2001" s="1689"/>
      <c r="M2001" s="1689"/>
      <c r="N2001" s="1689"/>
      <c r="O2001" s="1689"/>
      <c r="P2001" s="1784">
        <f t="shared" si="364"/>
        <v>0</v>
      </c>
      <c r="Q2001" s="1689">
        <f t="shared" si="357"/>
        <v>0</v>
      </c>
      <c r="R2001" s="1689">
        <f t="shared" si="358"/>
        <v>0</v>
      </c>
      <c r="S2001" s="985"/>
      <c r="T2001" s="1858">
        <f>IFERROR(HLOOKUP(B2001,pp3p1m!$1:$3,3,0),0)</f>
        <v>0</v>
      </c>
    </row>
    <row r="2002" spans="1:20" ht="22.2" hidden="1" customHeight="1">
      <c r="A2002" s="1444">
        <f>COUNTIF($C$12:C2002,"x")</f>
        <v>60</v>
      </c>
      <c r="B2002" s="1451" t="s">
        <v>1780</v>
      </c>
      <c r="C2002" s="966" t="str">
        <f t="shared" si="363"/>
        <v xml:space="preserve"> </v>
      </c>
      <c r="D2002" s="1411"/>
      <c r="E2002" s="976" t="str">
        <f>VLOOKUP($B2002,DG!A:D,DG!$B$2,)</f>
        <v>06.1215</v>
      </c>
      <c r="F2002" s="981" t="str">
        <f>VLOOKUP($B2002,DG!A:D,DG!$C$2,)</f>
        <v>Lắp rack 4 sứ + sứ ống chỉ</v>
      </c>
      <c r="G2002" s="976" t="str">
        <f>VLOOKUP($B2002,DG!A:D,DG!$D$2,)</f>
        <v>bộ</v>
      </c>
      <c r="H2002" s="1689">
        <f t="shared" si="365"/>
        <v>0</v>
      </c>
      <c r="I2002" s="1689"/>
      <c r="J2002" s="1689"/>
      <c r="K2002" s="1688">
        <f>IFERROR(HLOOKUP(B2002,pp3p1m!$1:$3,2,0),0)</f>
        <v>0</v>
      </c>
      <c r="L2002" s="1689"/>
      <c r="M2002" s="1689"/>
      <c r="N2002" s="1689"/>
      <c r="O2002" s="1689"/>
      <c r="P2002" s="1784">
        <f t="shared" si="364"/>
        <v>0</v>
      </c>
      <c r="Q2002" s="1689">
        <f t="shared" si="357"/>
        <v>0</v>
      </c>
      <c r="R2002" s="1689">
        <f t="shared" si="358"/>
        <v>0</v>
      </c>
      <c r="S2002" s="985"/>
      <c r="T2002" s="1858">
        <f>IFERROR(HLOOKUP(B2002,pp3p1m!$1:$3,3,0),0)</f>
        <v>0</v>
      </c>
    </row>
    <row r="2003" spans="1:20" ht="22.2" hidden="1" customHeight="1">
      <c r="A2003" s="1444">
        <f>COUNTIF($C$12:C2003,"x")</f>
        <v>60</v>
      </c>
      <c r="B2003" s="1451" t="s">
        <v>353</v>
      </c>
      <c r="C2003" s="966" t="str">
        <f t="shared" si="363"/>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5"/>
        <v>0</v>
      </c>
      <c r="I2003" s="1689"/>
      <c r="J2003" s="1689"/>
      <c r="K2003" s="1688">
        <f>IFERROR(HLOOKUP(B2003,pp3p1m!$1:$3,2,0),0)</f>
        <v>0</v>
      </c>
      <c r="L2003" s="1689"/>
      <c r="M2003" s="1689"/>
      <c r="N2003" s="1689"/>
      <c r="O2003" s="1689"/>
      <c r="P2003" s="1784">
        <f t="shared" si="364"/>
        <v>0</v>
      </c>
      <c r="Q2003" s="1689">
        <f t="shared" si="357"/>
        <v>0</v>
      </c>
      <c r="R2003" s="1689">
        <f t="shared" si="358"/>
        <v>0</v>
      </c>
      <c r="S2003" s="990"/>
      <c r="T2003" s="1858">
        <f>IFERROR(HLOOKUP(B2003,pp3p1m!$1:$3,3,0),0)</f>
        <v>0</v>
      </c>
    </row>
    <row r="2004" spans="1:20" ht="22.2" hidden="1" customHeight="1">
      <c r="A2004" s="1444">
        <f>COUNTIF($C$12:C2004,"x")</f>
        <v>60</v>
      </c>
      <c r="B2004" s="1451" t="s">
        <v>354</v>
      </c>
      <c r="C2004" s="966" t="str">
        <f t="shared" si="363"/>
        <v xml:space="preserve"> </v>
      </c>
      <c r="D2004" s="1408"/>
      <c r="E2004" s="976" t="str">
        <f>VLOOKUP($B2004,DG!A:D,DG!$B$2,)</f>
        <v>06.5082</v>
      </c>
      <c r="F2004" s="981" t="str">
        <f>VLOOKUP($B2004,DG!A:D,DG!$C$2,)</f>
        <v>Kéo dây qua sông ( S&lt;=300)</v>
      </c>
      <c r="G2004" s="976" t="str">
        <f>VLOOKUP($B2004,DG!A:D,DG!$D$2,)</f>
        <v>vị trí</v>
      </c>
      <c r="H2004" s="1689">
        <f t="shared" si="365"/>
        <v>0</v>
      </c>
      <c r="I2004" s="1689"/>
      <c r="J2004" s="1689"/>
      <c r="K2004" s="1688">
        <f>IFERROR(HLOOKUP(B2004,pp3p1m!$1:$3,2,0),0)</f>
        <v>0</v>
      </c>
      <c r="L2004" s="1689"/>
      <c r="M2004" s="1689"/>
      <c r="N2004" s="1689"/>
      <c r="O2004" s="1689"/>
      <c r="P2004" s="1784">
        <f t="shared" si="364"/>
        <v>0</v>
      </c>
      <c r="Q2004" s="1689">
        <f t="shared" si="357"/>
        <v>0</v>
      </c>
      <c r="R2004" s="1689">
        <f t="shared" si="358"/>
        <v>0</v>
      </c>
      <c r="S2004" s="990"/>
      <c r="T2004" s="1858">
        <f>IFERROR(HLOOKUP(B2004,pp3p1m!$1:$3,3,0),0)</f>
        <v>0</v>
      </c>
    </row>
    <row r="2005" spans="1:20" ht="22.2" hidden="1" customHeight="1">
      <c r="A2005" s="1444">
        <f>COUNTIF($C$12:C2005,"x")</f>
        <v>60</v>
      </c>
      <c r="B2005" s="1451" t="s">
        <v>355</v>
      </c>
      <c r="C2005" s="966" t="str">
        <f t="shared" si="363"/>
        <v xml:space="preserve"> </v>
      </c>
      <c r="D2005" s="1410"/>
      <c r="E2005" s="976" t="str">
        <f>VLOOKUP($B2005,DG!A:D,DG!$B$2,)</f>
        <v>02.1122</v>
      </c>
      <c r="F2005" s="981" t="str">
        <f>VLOOKUP($B2005,DG!A:D,DG!$C$2,)</f>
        <v>Bốc dỡ dây</v>
      </c>
      <c r="G2005" s="976" t="str">
        <f>VLOOKUP($B2005,DG!A:D,DG!$D$2,)</f>
        <v>tấn</v>
      </c>
      <c r="H2005" s="1689">
        <f t="shared" si="365"/>
        <v>0</v>
      </c>
      <c r="I2005" s="1689"/>
      <c r="J2005" s="1689"/>
      <c r="K2005" s="1688">
        <f>IFERROR(HLOOKUP(B2005,pp3p1m!$1:$3,2,0),0)</f>
        <v>0</v>
      </c>
      <c r="L2005" s="1689"/>
      <c r="M2005" s="1689"/>
      <c r="N2005" s="1689"/>
      <c r="O2005" s="1689"/>
      <c r="P2005" s="1784">
        <f t="shared" si="364"/>
        <v>0</v>
      </c>
      <c r="Q2005" s="1689">
        <f t="shared" si="357"/>
        <v>0</v>
      </c>
      <c r="R2005" s="1689">
        <f t="shared" si="358"/>
        <v>0</v>
      </c>
      <c r="S2005" s="990"/>
      <c r="T2005" s="1858">
        <f>IFERROR(HLOOKUP(B2005,pp3p1m!$1:$3,3,0),0)</f>
        <v>0</v>
      </c>
    </row>
    <row r="2006" spans="1:20" ht="22.2" hidden="1" customHeight="1">
      <c r="A2006" s="1444">
        <f>COUNTIF($C$12:C2006,"x")</f>
        <v>60</v>
      </c>
      <c r="B2006" s="1451" t="s">
        <v>1902</v>
      </c>
      <c r="C2006" s="966" t="str">
        <f t="shared" si="363"/>
        <v xml:space="preserve"> </v>
      </c>
      <c r="D2006" s="1410"/>
      <c r="E2006" s="976" t="str">
        <f>VLOOKUP($B2006,DG!A:D,DG!$B$2,)</f>
        <v>02.1120</v>
      </c>
      <c r="F2006" s="981" t="str">
        <f>VLOOKUP($B2006,DG!A:D,DG!$C$2,)</f>
        <v>Bốc dỡ phụ kiện</v>
      </c>
      <c r="G2006" s="976" t="str">
        <f>VLOOKUP($B2006,DG!A:D,DG!$D$2,)</f>
        <v>tấn</v>
      </c>
      <c r="H2006" s="1689">
        <f t="shared" si="365"/>
        <v>0</v>
      </c>
      <c r="I2006" s="1689"/>
      <c r="J2006" s="1689"/>
      <c r="K2006" s="1688">
        <f>IFERROR(HLOOKUP(B2006,pp3p1m!$1:$3,2,0),0)</f>
        <v>0</v>
      </c>
      <c r="L2006" s="1689"/>
      <c r="M2006" s="1689"/>
      <c r="N2006" s="1689"/>
      <c r="O2006" s="1689"/>
      <c r="P2006" s="1784">
        <f t="shared" si="364"/>
        <v>0</v>
      </c>
      <c r="Q2006" s="1689">
        <f t="shared" si="357"/>
        <v>0</v>
      </c>
      <c r="R2006" s="1689">
        <f t="shared" si="358"/>
        <v>0</v>
      </c>
      <c r="S2006" s="990"/>
      <c r="T2006" s="1858">
        <f>IFERROR(HLOOKUP(B2006,pp3p1m!$1:$3,3,0),0)</f>
        <v>0</v>
      </c>
    </row>
    <row r="2007" spans="1:20" ht="22.2" hidden="1" customHeight="1">
      <c r="A2007" s="1444">
        <f>COUNTIF($C$12:C2007,"x")</f>
        <v>60</v>
      </c>
      <c r="B2007" s="1462" t="s">
        <v>356</v>
      </c>
      <c r="C2007" s="966" t="str">
        <f t="shared" si="363"/>
        <v xml:space="preserve"> </v>
      </c>
      <c r="D2007" s="1426"/>
      <c r="E2007" s="976" t="str">
        <f>VLOOKUP($B2007,DG!A:D,DG!$B$2,)</f>
        <v>02.1421</v>
      </c>
      <c r="F2007" s="981" t="str">
        <f>VLOOKUP($B2007,DG!A:D,DG!$C$2,)</f>
        <v>V/c phụ kiện vào vị trí (cự ly &lt;=100m)</v>
      </c>
      <c r="G2007" s="976" t="str">
        <f>VLOOKUP($B2007,DG!A:D,DG!$D$2,)</f>
        <v>tấn</v>
      </c>
      <c r="H2007" s="1689">
        <f t="shared" si="365"/>
        <v>0</v>
      </c>
      <c r="I2007" s="1689"/>
      <c r="J2007" s="1689"/>
      <c r="K2007" s="1688">
        <f>IFERROR(HLOOKUP(B2007,pp3p1m!$1:$3,2,0),0)</f>
        <v>0</v>
      </c>
      <c r="L2007" s="1689"/>
      <c r="M2007" s="1689"/>
      <c r="N2007" s="1689"/>
      <c r="O2007" s="1689"/>
      <c r="P2007" s="1784">
        <f t="shared" si="364"/>
        <v>0</v>
      </c>
      <c r="Q2007" s="1689">
        <f t="shared" si="357"/>
        <v>0</v>
      </c>
      <c r="R2007" s="1689">
        <f t="shared" si="358"/>
        <v>0</v>
      </c>
      <c r="S2007" s="990"/>
      <c r="T2007" s="1858">
        <f>IFERROR(HLOOKUP(B2007,pp3p1m!$1:$3,3,0),0)</f>
        <v>0</v>
      </c>
    </row>
    <row r="2008" spans="1:20" ht="22.2" hidden="1" customHeight="1">
      <c r="A2008" s="1444">
        <f>COUNTIF($C$12:C2008,"x")</f>
        <v>60</v>
      </c>
      <c r="B2008" s="1462" t="s">
        <v>357</v>
      </c>
      <c r="C2008" s="966" t="str">
        <f t="shared" si="363"/>
        <v xml:space="preserve"> </v>
      </c>
      <c r="D2008" s="1426"/>
      <c r="E2008" s="976" t="str">
        <f>VLOOKUP($B2008,DG!A:D,DG!$B$2,)</f>
        <v>02.1441</v>
      </c>
      <c r="F2008" s="981" t="str">
        <f>VLOOKUP($B2008,DG!A:D,DG!$C$2,)</f>
        <v>V/c dây vào vị trí (cự ly &lt;=100m)</v>
      </c>
      <c r="G2008" s="976" t="str">
        <f>VLOOKUP($B2008,DG!A:D,DG!$D$2,)</f>
        <v>tấn</v>
      </c>
      <c r="H2008" s="1689">
        <f t="shared" si="365"/>
        <v>0</v>
      </c>
      <c r="I2008" s="1689"/>
      <c r="J2008" s="1689"/>
      <c r="K2008" s="1688">
        <f>IFERROR(HLOOKUP(B2008,pp3p1m!$1:$3,2,0),0)</f>
        <v>0</v>
      </c>
      <c r="L2008" s="1689"/>
      <c r="M2008" s="1689"/>
      <c r="N2008" s="1689"/>
      <c r="O2008" s="1689"/>
      <c r="P2008" s="1784">
        <f t="shared" si="364"/>
        <v>0</v>
      </c>
      <c r="Q2008" s="1689">
        <f t="shared" si="357"/>
        <v>0</v>
      </c>
      <c r="R2008" s="1689">
        <f t="shared" si="358"/>
        <v>0</v>
      </c>
      <c r="S2008" s="990"/>
      <c r="T2008" s="1858">
        <f>IFERROR(HLOOKUP(B2008,pp3p1m!$1:$3,3,0),0)</f>
        <v>0</v>
      </c>
    </row>
    <row r="2009" spans="1:20" ht="22.2" hidden="1" customHeight="1">
      <c r="A2009" s="1444">
        <f>COUNTIF($C$12:C2009,"x")</f>
        <v>60</v>
      </c>
      <c r="B2009" s="1460" t="s">
        <v>606</v>
      </c>
      <c r="C2009" s="966" t="str">
        <f t="shared" si="363"/>
        <v xml:space="preserve"> </v>
      </c>
      <c r="D2009" s="1426"/>
      <c r="E2009" s="976" t="str">
        <f>VLOOKUP($B2009,DG!A:D,DG!$B$2,)</f>
        <v>02.1482</v>
      </c>
      <c r="F2009" s="981" t="str">
        <f>VLOOKUP($B2009,DG!A:D,DG!$C$2,)</f>
        <v>V/c dụng cụ thi công vào vị trí (cự ly &lt;=100m)</v>
      </c>
      <c r="G2009" s="976" t="str">
        <f>VLOOKUP($B2009,DG!A:D,DG!$D$2,)</f>
        <v>tấn</v>
      </c>
      <c r="H2009" s="1689">
        <f t="shared" si="365"/>
        <v>0</v>
      </c>
      <c r="I2009" s="1689"/>
      <c r="J2009" s="1689"/>
      <c r="K2009" s="1688">
        <f>IFERROR(HLOOKUP(B2009,pp3p1m!$1:$3,2,0),0)</f>
        <v>0</v>
      </c>
      <c r="L2009" s="1689"/>
      <c r="M2009" s="1689"/>
      <c r="N2009" s="1689"/>
      <c r="O2009" s="1689"/>
      <c r="P2009" s="1784">
        <f t="shared" si="364"/>
        <v>0</v>
      </c>
      <c r="Q2009" s="1689">
        <f t="shared" si="357"/>
        <v>0</v>
      </c>
      <c r="R2009" s="1689">
        <f t="shared" si="358"/>
        <v>0</v>
      </c>
      <c r="S2009" s="990"/>
      <c r="T2009" s="1858">
        <f>IFERROR(HLOOKUP(B2009,pp3p1m!$1:$3,3,0),0)</f>
        <v>0</v>
      </c>
    </row>
    <row r="2010" spans="1:20" ht="22.2" hidden="1" customHeight="1">
      <c r="A2010" s="1444">
        <f>COUNTIF($C$12:C2010,"x")</f>
        <v>60</v>
      </c>
      <c r="B2010" s="1448" t="s">
        <v>1978</v>
      </c>
      <c r="C2010" s="966" t="str">
        <f t="shared" si="363"/>
        <v xml:space="preserve"> </v>
      </c>
      <c r="D2010" s="1408"/>
      <c r="E2010" s="978" t="s">
        <v>2170</v>
      </c>
      <c r="F2010" s="1272" t="s">
        <v>4538</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2" hidden="1" customHeight="1">
      <c r="A2011" s="1444">
        <f>COUNTIF($C$12:C2011,"x")</f>
        <v>60</v>
      </c>
      <c r="B2011" s="1451" t="s">
        <v>1239</v>
      </c>
      <c r="C2011" s="966" t="str">
        <f t="shared" si="363"/>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6">H2011+Q2011-R2011</f>
        <v>0</v>
      </c>
      <c r="Q2011" s="985"/>
      <c r="R2011" s="985"/>
      <c r="S2011" s="985"/>
      <c r="T2011" s="1858">
        <f>IFERROR(HLOOKUP(B2011,pp1p!$1:$3,3,0),0)</f>
        <v>0</v>
      </c>
    </row>
    <row r="2012" spans="1:20" ht="22.2" hidden="1" customHeight="1">
      <c r="A2012" s="1444">
        <f>COUNTIF($C$12:C2012,"x")</f>
        <v>60</v>
      </c>
      <c r="B2012" s="1451" t="s">
        <v>88</v>
      </c>
      <c r="C2012" s="966" t="str">
        <f t="shared" si="363"/>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6"/>
        <v>0</v>
      </c>
      <c r="Q2012" s="985"/>
      <c r="R2012" s="985"/>
      <c r="S2012" s="985"/>
      <c r="T2012" s="1858">
        <f>IFERROR(HLOOKUP(B2012,pp1p!$1:$3,3,0),0)</f>
        <v>0</v>
      </c>
    </row>
    <row r="2013" spans="1:20" ht="22.2" hidden="1" customHeight="1">
      <c r="A2013" s="1444">
        <f>COUNTIF($C$12:C2013,"x")</f>
        <v>60</v>
      </c>
      <c r="B2013" s="1451" t="s">
        <v>360</v>
      </c>
      <c r="C2013" s="966" t="str">
        <f t="shared" si="363"/>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6"/>
        <v>0</v>
      </c>
      <c r="Q2013" s="985"/>
      <c r="R2013" s="985"/>
      <c r="S2013" s="985"/>
      <c r="T2013" s="1858">
        <f>IFERROR(HLOOKUP(B2013,pp1p!$1:$3,3,0),0)</f>
        <v>0</v>
      </c>
    </row>
    <row r="2014" spans="1:20" ht="22.2" hidden="1" customHeight="1">
      <c r="A2014" s="1444">
        <f>COUNTIF($C$12:C2014,"x")</f>
        <v>60</v>
      </c>
      <c r="B2014" s="1468" t="s">
        <v>2499</v>
      </c>
      <c r="C2014" s="966" t="str">
        <f t="shared" si="363"/>
        <v xml:space="preserve"> </v>
      </c>
      <c r="D2014" s="1424">
        <f>pp1p!BX94</f>
        <v>0</v>
      </c>
      <c r="E2014" s="976"/>
      <c r="F2014" s="994" t="s">
        <v>2500</v>
      </c>
      <c r="G2014" s="995" t="s">
        <v>2439</v>
      </c>
      <c r="H2014" s="1689">
        <f t="shared" ref="H2014:H2020" si="367">D2014</f>
        <v>0</v>
      </c>
      <c r="I2014" s="1689"/>
      <c r="J2014" s="1689"/>
      <c r="K2014" s="1689"/>
      <c r="L2014" s="1688">
        <f>IFERROR(HLOOKUP(chitiet!B2014,pp1p!$1:$3,2,0),0)</f>
        <v>0</v>
      </c>
      <c r="M2014" s="1689"/>
      <c r="N2014" s="1689"/>
      <c r="O2014" s="1689"/>
      <c r="P2014" s="1689">
        <f t="shared" si="366"/>
        <v>0</v>
      </c>
      <c r="Q2014" s="985"/>
      <c r="R2014" s="985"/>
      <c r="S2014" s="985"/>
      <c r="T2014" s="1858">
        <f>IFERROR(HLOOKUP(B2014,pp1p!$1:$3,3,0),0)</f>
        <v>0</v>
      </c>
    </row>
    <row r="2015" spans="1:20" ht="22.2" hidden="1" customHeight="1">
      <c r="A2015" s="1444">
        <f>COUNTIF($C$12:C2015,"x")</f>
        <v>60</v>
      </c>
      <c r="B2015" s="1451" t="s">
        <v>1909</v>
      </c>
      <c r="C2015" s="966" t="str">
        <f t="shared" si="363"/>
        <v xml:space="preserve"> </v>
      </c>
      <c r="D2015" s="1411">
        <f>D2014</f>
        <v>0</v>
      </c>
      <c r="E2015" s="976"/>
      <c r="F2015" s="988" t="str">
        <f>VLOOKUP($B2015,DG!A:D,DG!$C$2,)</f>
        <v>Uclevis + sứ ống chỉ</v>
      </c>
      <c r="G2015" s="976" t="str">
        <f>VLOOKUP($B2015,DG!A:D,DG!$D$2,)</f>
        <v>bộ</v>
      </c>
      <c r="H2015" s="1689">
        <f t="shared" si="367"/>
        <v>0</v>
      </c>
      <c r="I2015" s="1689"/>
      <c r="J2015" s="1689"/>
      <c r="K2015" s="1689"/>
      <c r="L2015" s="1689">
        <f t="shared" ref="L2015:L2058" si="368">H2015</f>
        <v>0</v>
      </c>
      <c r="M2015" s="1689"/>
      <c r="N2015" s="1689"/>
      <c r="O2015" s="1689"/>
      <c r="P2015" s="1689">
        <f t="shared" si="366"/>
        <v>0</v>
      </c>
      <c r="Q2015" s="985"/>
      <c r="R2015" s="985"/>
      <c r="S2015" s="985"/>
      <c r="T2015" s="1858">
        <f>IFERROR(HLOOKUP(B2015,pp1p!$1:$3,3,0),0)</f>
        <v>0</v>
      </c>
    </row>
    <row r="2016" spans="1:20" ht="22.2" hidden="1" customHeight="1">
      <c r="A2016" s="1444">
        <f>COUNTIF($C$12:C2016,"x")</f>
        <v>60</v>
      </c>
      <c r="B2016" s="1451" t="s">
        <v>1610</v>
      </c>
      <c r="C2016" s="966" t="str">
        <f t="shared" si="363"/>
        <v xml:space="preserve"> </v>
      </c>
      <c r="D2016" s="1411">
        <f>D2014</f>
        <v>0</v>
      </c>
      <c r="E2016" s="976"/>
      <c r="F2016" s="988" t="str">
        <f>VLOOKUP($B2016,DG!A:D,DG!$C$2,)</f>
        <v>Boulon 16x300+ 2 long đền vuông D18-50x50x3/Zn</v>
      </c>
      <c r="G2016" s="976" t="str">
        <f>VLOOKUP($B2016,DG!A:D,DG!$D$2,)</f>
        <v>bộ</v>
      </c>
      <c r="H2016" s="1689">
        <f t="shared" si="367"/>
        <v>0</v>
      </c>
      <c r="I2016" s="1689"/>
      <c r="J2016" s="1689"/>
      <c r="K2016" s="1689"/>
      <c r="L2016" s="1689">
        <f t="shared" si="368"/>
        <v>0</v>
      </c>
      <c r="M2016" s="1689"/>
      <c r="N2016" s="1689"/>
      <c r="O2016" s="1689"/>
      <c r="P2016" s="1689">
        <f t="shared" si="366"/>
        <v>0</v>
      </c>
      <c r="Q2016" s="985"/>
      <c r="R2016" s="985"/>
      <c r="S2016" s="985"/>
      <c r="T2016" s="1858">
        <f>IFERROR(HLOOKUP(B2016,pp1p!$1:$3,3,0),0)</f>
        <v>0</v>
      </c>
    </row>
    <row r="2017" spans="1:20" ht="22.2" hidden="1" customHeight="1">
      <c r="A2017" s="1444">
        <f>COUNTIF($C$12:C2017,"x")</f>
        <v>60</v>
      </c>
      <c r="B2017" s="1468" t="s">
        <v>1621</v>
      </c>
      <c r="C2017" s="966" t="str">
        <f t="shared" si="363"/>
        <v xml:space="preserve"> </v>
      </c>
      <c r="D2017" s="1424">
        <f>pp1p!BY94</f>
        <v>0</v>
      </c>
      <c r="E2017" s="976"/>
      <c r="F2017" s="994" t="s">
        <v>2501</v>
      </c>
      <c r="G2017" s="995" t="s">
        <v>2439</v>
      </c>
      <c r="H2017" s="1689">
        <f t="shared" si="367"/>
        <v>0</v>
      </c>
      <c r="I2017" s="1689"/>
      <c r="J2017" s="1689"/>
      <c r="K2017" s="1689"/>
      <c r="L2017" s="1688">
        <f>IFERROR(HLOOKUP(chitiet!B2017,pp1p!$1:$3,2,0),0)</f>
        <v>0</v>
      </c>
      <c r="M2017" s="1689"/>
      <c r="N2017" s="1689"/>
      <c r="O2017" s="1689"/>
      <c r="P2017" s="1689">
        <f t="shared" si="366"/>
        <v>0</v>
      </c>
      <c r="Q2017" s="985"/>
      <c r="R2017" s="985"/>
      <c r="S2017" s="985"/>
      <c r="T2017" s="1858">
        <f>IFERROR(HLOOKUP(B2017,pp1p!$1:$3,3,0),0)</f>
        <v>0</v>
      </c>
    </row>
    <row r="2018" spans="1:20" ht="22.2" hidden="1" customHeight="1">
      <c r="A2018" s="1444">
        <f>COUNTIF($C$12:C2018,"x")</f>
        <v>60</v>
      </c>
      <c r="B2018" s="1451" t="s">
        <v>1909</v>
      </c>
      <c r="C2018" s="966" t="str">
        <f t="shared" si="363"/>
        <v xml:space="preserve"> </v>
      </c>
      <c r="D2018" s="1411">
        <f>D2017</f>
        <v>0</v>
      </c>
      <c r="E2018" s="976"/>
      <c r="F2018" s="988" t="str">
        <f>VLOOKUP($B2018,DG!A:D,DG!$C$2,)</f>
        <v>Uclevis + sứ ống chỉ</v>
      </c>
      <c r="G2018" s="976" t="str">
        <f>VLOOKUP($B2018,DG!A:D,DG!$D$2,)</f>
        <v>bộ</v>
      </c>
      <c r="H2018" s="1689">
        <f t="shared" si="367"/>
        <v>0</v>
      </c>
      <c r="I2018" s="1689"/>
      <c r="J2018" s="1689"/>
      <c r="K2018" s="1689"/>
      <c r="L2018" s="1689">
        <f t="shared" si="368"/>
        <v>0</v>
      </c>
      <c r="M2018" s="1689"/>
      <c r="N2018" s="1689"/>
      <c r="O2018" s="1689"/>
      <c r="P2018" s="1689">
        <f t="shared" si="366"/>
        <v>0</v>
      </c>
      <c r="Q2018" s="985"/>
      <c r="R2018" s="985"/>
      <c r="S2018" s="985"/>
      <c r="T2018" s="1858">
        <f>IFERROR(HLOOKUP(B2018,pp1p!$1:$3,3,0),0)</f>
        <v>0</v>
      </c>
    </row>
    <row r="2019" spans="1:20" ht="22.2" hidden="1" customHeight="1">
      <c r="A2019" s="1444">
        <f>COUNTIF($C$12:C2019,"x")</f>
        <v>60</v>
      </c>
      <c r="B2019" s="1451" t="s">
        <v>1610</v>
      </c>
      <c r="C2019" s="966" t="str">
        <f t="shared" si="363"/>
        <v xml:space="preserve"> </v>
      </c>
      <c r="D2019" s="1411">
        <f>D2017</f>
        <v>0</v>
      </c>
      <c r="E2019" s="976"/>
      <c r="F2019" s="988" t="str">
        <f>VLOOKUP($B2019,DG!A:D,DG!$C$2,)</f>
        <v>Boulon 16x300+ 2 long đền vuông D18-50x50x3/Zn</v>
      </c>
      <c r="G2019" s="976" t="str">
        <f>VLOOKUP($B2019,DG!A:D,DG!$D$2,)</f>
        <v>bộ</v>
      </c>
      <c r="H2019" s="1689">
        <f t="shared" si="367"/>
        <v>0</v>
      </c>
      <c r="I2019" s="1689"/>
      <c r="J2019" s="1689"/>
      <c r="K2019" s="1689"/>
      <c r="L2019" s="1689">
        <f t="shared" si="368"/>
        <v>0</v>
      </c>
      <c r="M2019" s="1689"/>
      <c r="N2019" s="1689"/>
      <c r="O2019" s="1689"/>
      <c r="P2019" s="1689">
        <f t="shared" si="366"/>
        <v>0</v>
      </c>
      <c r="Q2019" s="985"/>
      <c r="R2019" s="985"/>
      <c r="S2019" s="985"/>
      <c r="T2019" s="1858">
        <f>IFERROR(HLOOKUP(B2019,pp1p!$1:$3,3,0),0)</f>
        <v>0</v>
      </c>
    </row>
    <row r="2020" spans="1:20" ht="22.2" hidden="1" customHeight="1">
      <c r="A2020" s="1444">
        <f>COUNTIF($C$12:C2020,"x")</f>
        <v>60</v>
      </c>
      <c r="B2020" s="1451" t="s">
        <v>1851</v>
      </c>
      <c r="C2020" s="966" t="str">
        <f t="shared" si="363"/>
        <v xml:space="preserve"> </v>
      </c>
      <c r="D2020" s="1411">
        <f>D2017*6</f>
        <v>0</v>
      </c>
      <c r="E2020" s="976"/>
      <c r="F2020" s="988" t="str">
        <f>VLOOKUP($B2020,DG!A:D,DG!$C$2,)</f>
        <v>Kẹp 2 rãnh cỡ dây 50mm2</v>
      </c>
      <c r="G2020" s="976" t="str">
        <f>VLOOKUP($B2020,DG!A:D,DG!$D$2,)</f>
        <v>cái</v>
      </c>
      <c r="H2020" s="1689">
        <f t="shared" si="367"/>
        <v>0</v>
      </c>
      <c r="I2020" s="1689"/>
      <c r="J2020" s="1689"/>
      <c r="K2020" s="1689"/>
      <c r="L2020" s="1689">
        <f t="shared" si="368"/>
        <v>0</v>
      </c>
      <c r="M2020" s="1689"/>
      <c r="N2020" s="1689"/>
      <c r="O2020" s="1689"/>
      <c r="P2020" s="1689">
        <f t="shared" si="366"/>
        <v>0</v>
      </c>
      <c r="Q2020" s="985"/>
      <c r="R2020" s="985"/>
      <c r="S2020" s="985"/>
      <c r="T2020" s="1858">
        <f>IFERROR(HLOOKUP(B2020,pp1p!$1:$3,3,0),0)</f>
        <v>0</v>
      </c>
    </row>
    <row r="2021" spans="1:20" ht="22.2" hidden="1" customHeight="1">
      <c r="A2021" s="1444">
        <f>COUNTIF($C$12:C2021,"x")</f>
        <v>60</v>
      </c>
      <c r="B2021" s="1468" t="s">
        <v>1622</v>
      </c>
      <c r="C2021" s="966" t="str">
        <f t="shared" si="363"/>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6"/>
        <v>0</v>
      </c>
      <c r="Q2021" s="985"/>
      <c r="R2021" s="985"/>
      <c r="S2021" s="985"/>
      <c r="T2021" s="1858">
        <f>IFERROR(HLOOKUP(B2021,pp1p!$1:$3,3,0),0)</f>
        <v>0</v>
      </c>
    </row>
    <row r="2022" spans="1:20" ht="22.2" hidden="1" customHeight="1">
      <c r="A2022" s="1444">
        <f>COUNTIF($C$12:C2022,"x")</f>
        <v>60</v>
      </c>
      <c r="B2022" s="1469" t="s">
        <v>904</v>
      </c>
      <c r="C2022" s="966" t="str">
        <f t="shared" si="363"/>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6"/>
        <v>0</v>
      </c>
      <c r="Q2022" s="985"/>
      <c r="R2022" s="985"/>
      <c r="S2022" s="985"/>
      <c r="T2022" s="1858">
        <f>IFERROR(HLOOKUP(B2022,pp1p!$1:$3,3,0),0)</f>
        <v>0</v>
      </c>
    </row>
    <row r="2023" spans="1:20" ht="22.2" hidden="1" customHeight="1">
      <c r="A2023" s="1444">
        <f>COUNTIF($C$12:C2023,"x")</f>
        <v>60</v>
      </c>
      <c r="B2023" s="1451" t="s">
        <v>1486</v>
      </c>
      <c r="C2023" s="966" t="str">
        <f t="shared" si="363"/>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6"/>
        <v>0</v>
      </c>
      <c r="Q2023" s="985"/>
      <c r="R2023" s="985"/>
      <c r="S2023" s="985"/>
      <c r="T2023" s="1858">
        <f>IFERROR(HLOOKUP(B2023,pp1p!$1:$3,3,0),0)</f>
        <v>0</v>
      </c>
    </row>
    <row r="2024" spans="1:20" ht="22.2" hidden="1" customHeight="1">
      <c r="A2024" s="1444">
        <f>COUNTIF($C$12:C2024,"x")</f>
        <v>60</v>
      </c>
      <c r="B2024" s="1451" t="s">
        <v>417</v>
      </c>
      <c r="C2024" s="966" t="str">
        <f t="shared" si="363"/>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6"/>
        <v>0</v>
      </c>
      <c r="Q2024" s="985"/>
      <c r="R2024" s="985"/>
      <c r="S2024" s="985"/>
      <c r="T2024" s="1858">
        <f>IFERROR(HLOOKUP(B2024,pp1p!$1:$3,3,0),0)</f>
        <v>0</v>
      </c>
    </row>
    <row r="2025" spans="1:20" ht="22.2" hidden="1" customHeight="1">
      <c r="A2025" s="1444">
        <f>COUNTIF($C$12:C2025,"x")</f>
        <v>60</v>
      </c>
      <c r="B2025" s="1451" t="s">
        <v>1579</v>
      </c>
      <c r="C2025" s="966" t="str">
        <f t="shared" si="363"/>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6"/>
        <v>0</v>
      </c>
      <c r="Q2025" s="985"/>
      <c r="R2025" s="985"/>
      <c r="S2025" s="985"/>
      <c r="T2025" s="1858">
        <f>IFERROR(HLOOKUP(B2025,pp1p!$1:$3,3,0),0)</f>
        <v>0</v>
      </c>
    </row>
    <row r="2026" spans="1:20" ht="22.2" hidden="1" customHeight="1">
      <c r="A2026" s="1444">
        <f>COUNTIF($C$12:C2026,"x")</f>
        <v>60</v>
      </c>
      <c r="B2026" s="1468" t="s">
        <v>2504</v>
      </c>
      <c r="C2026" s="966" t="str">
        <f t="shared" si="363"/>
        <v xml:space="preserve"> </v>
      </c>
      <c r="D2026" s="1424">
        <f>pp1p!BS94</f>
        <v>0</v>
      </c>
      <c r="E2026" s="976"/>
      <c r="F2026" s="994" t="s">
        <v>2505</v>
      </c>
      <c r="G2026" s="995" t="s">
        <v>2439</v>
      </c>
      <c r="H2026" s="1689">
        <f t="shared" ref="H2026:H2042" si="369">D2026</f>
        <v>0</v>
      </c>
      <c r="I2026" s="1689"/>
      <c r="J2026" s="1689"/>
      <c r="K2026" s="1689"/>
      <c r="L2026" s="1688">
        <f>IFERROR(HLOOKUP(chitiet!B2026,pp1p!$1:$3,2,0),0)</f>
        <v>0</v>
      </c>
      <c r="M2026" s="1689"/>
      <c r="N2026" s="1689"/>
      <c r="O2026" s="1689"/>
      <c r="P2026" s="1689">
        <f t="shared" si="366"/>
        <v>0</v>
      </c>
      <c r="Q2026" s="985"/>
      <c r="R2026" s="985"/>
      <c r="S2026" s="985"/>
      <c r="T2026" s="1858">
        <f>IFERROR(HLOOKUP(B2026,pp1p!$1:$3,3,0),0)</f>
        <v>0</v>
      </c>
    </row>
    <row r="2027" spans="1:20" ht="22.2" hidden="1" customHeight="1">
      <c r="A2027" s="1444">
        <f>COUNTIF($C$12:C2027,"x")</f>
        <v>60</v>
      </c>
      <c r="B2027" s="1451" t="s">
        <v>696</v>
      </c>
      <c r="C2027" s="966" t="str">
        <f t="shared" si="363"/>
        <v xml:space="preserve"> </v>
      </c>
      <c r="D2027" s="1411">
        <f>D2026</f>
        <v>0</v>
      </c>
      <c r="E2027" s="976"/>
      <c r="F2027" s="988" t="str">
        <f>VLOOKUP($B2027,DG!A:D,DG!$C$2,)</f>
        <v xml:space="preserve">Sứ đứng 24KV </v>
      </c>
      <c r="G2027" s="976" t="str">
        <f>VLOOKUP($B2027,DG!A:D,DG!$D$2,)</f>
        <v>cái</v>
      </c>
      <c r="H2027" s="1689">
        <f t="shared" si="369"/>
        <v>0</v>
      </c>
      <c r="I2027" s="1689"/>
      <c r="J2027" s="1689"/>
      <c r="K2027" s="1689"/>
      <c r="L2027" s="1689">
        <f t="shared" si="368"/>
        <v>0</v>
      </c>
      <c r="M2027" s="1689"/>
      <c r="N2027" s="1689"/>
      <c r="O2027" s="1689"/>
      <c r="P2027" s="1689">
        <f t="shared" si="366"/>
        <v>0</v>
      </c>
      <c r="Q2027" s="985"/>
      <c r="R2027" s="985"/>
      <c r="S2027" s="985"/>
      <c r="T2027" s="1858">
        <f>IFERROR(HLOOKUP(B2027,pp1p!$1:$3,3,0),0)</f>
        <v>0</v>
      </c>
    </row>
    <row r="2028" spans="1:20" ht="22.2" hidden="1" customHeight="1">
      <c r="A2028" s="1444">
        <f>COUNTIF($C$12:C2028,"x")</f>
        <v>60</v>
      </c>
      <c r="B2028" s="1451" t="s">
        <v>1265</v>
      </c>
      <c r="C2028" s="966" t="str">
        <f t="shared" si="363"/>
        <v xml:space="preserve"> </v>
      </c>
      <c r="D2028" s="1411">
        <f>D2026</f>
        <v>0</v>
      </c>
      <c r="E2028" s="976"/>
      <c r="F2028" s="988" t="str">
        <f>VLOOKUP($B2028,DG!A:D,DG!$C$2,)</f>
        <v>Chân sứ đứng D20</v>
      </c>
      <c r="G2028" s="976" t="str">
        <f>VLOOKUP($B2028,DG!A:D,DG!$D$2,)</f>
        <v>cái</v>
      </c>
      <c r="H2028" s="1689">
        <f t="shared" si="369"/>
        <v>0</v>
      </c>
      <c r="I2028" s="1689"/>
      <c r="J2028" s="1689"/>
      <c r="K2028" s="1689"/>
      <c r="L2028" s="1689">
        <f t="shared" si="368"/>
        <v>0</v>
      </c>
      <c r="M2028" s="1689"/>
      <c r="N2028" s="1689"/>
      <c r="O2028" s="1689"/>
      <c r="P2028" s="1689">
        <f t="shared" si="366"/>
        <v>0</v>
      </c>
      <c r="Q2028" s="985"/>
      <c r="R2028" s="985"/>
      <c r="S2028" s="985"/>
      <c r="T2028" s="1858">
        <f>IFERROR(HLOOKUP(B2028,pp1p!$1:$3,3,0),0)</f>
        <v>0</v>
      </c>
    </row>
    <row r="2029" spans="1:20" ht="22.2" hidden="1" customHeight="1">
      <c r="A2029" s="1444">
        <f>COUNTIF($C$12:C2029,"x")</f>
        <v>60</v>
      </c>
      <c r="B2029" s="1468" t="s">
        <v>2506</v>
      </c>
      <c r="C2029" s="966" t="str">
        <f t="shared" si="363"/>
        <v xml:space="preserve"> </v>
      </c>
      <c r="D2029" s="1424">
        <f>pp1p!BO94</f>
        <v>0</v>
      </c>
      <c r="E2029" s="976"/>
      <c r="F2029" s="994" t="s">
        <v>2507</v>
      </c>
      <c r="G2029" s="995" t="s">
        <v>2439</v>
      </c>
      <c r="H2029" s="1689">
        <f t="shared" si="369"/>
        <v>0</v>
      </c>
      <c r="I2029" s="1689"/>
      <c r="J2029" s="1689"/>
      <c r="K2029" s="1689"/>
      <c r="L2029" s="1688">
        <f>IFERROR(HLOOKUP(chitiet!B2029,pp1p!$1:$3,2,0),0)</f>
        <v>0</v>
      </c>
      <c r="M2029" s="1689"/>
      <c r="N2029" s="1689"/>
      <c r="O2029" s="1689"/>
      <c r="P2029" s="1689">
        <f t="shared" si="366"/>
        <v>0</v>
      </c>
      <c r="Q2029" s="985"/>
      <c r="R2029" s="985"/>
      <c r="S2029" s="985"/>
      <c r="T2029" s="1858">
        <f>IFERROR(HLOOKUP(B2029,pp1p!$1:$3,3,0),0)</f>
        <v>0</v>
      </c>
    </row>
    <row r="2030" spans="1:20" ht="22.2" hidden="1" customHeight="1">
      <c r="A2030" s="1444">
        <f>COUNTIF($C$12:C2030,"x")</f>
        <v>60</v>
      </c>
      <c r="B2030" s="1451" t="s">
        <v>696</v>
      </c>
      <c r="C2030" s="966" t="str">
        <f t="shared" si="363"/>
        <v xml:space="preserve"> </v>
      </c>
      <c r="D2030" s="1411">
        <f>D2029</f>
        <v>0</v>
      </c>
      <c r="E2030" s="976"/>
      <c r="F2030" s="988" t="str">
        <f>VLOOKUP($B2030,DG!A:D,DG!$C$2,)</f>
        <v xml:space="preserve">Sứ đứng 24KV </v>
      </c>
      <c r="G2030" s="976" t="str">
        <f>VLOOKUP($B2030,DG!A:D,DG!$D$2,)</f>
        <v>cái</v>
      </c>
      <c r="H2030" s="1689">
        <f t="shared" si="369"/>
        <v>0</v>
      </c>
      <c r="I2030" s="1689"/>
      <c r="J2030" s="1689"/>
      <c r="K2030" s="1689"/>
      <c r="L2030" s="1689">
        <f t="shared" si="368"/>
        <v>0</v>
      </c>
      <c r="M2030" s="1689"/>
      <c r="N2030" s="1689"/>
      <c r="O2030" s="1689"/>
      <c r="P2030" s="1689">
        <f t="shared" si="366"/>
        <v>0</v>
      </c>
      <c r="Q2030" s="985"/>
      <c r="R2030" s="985"/>
      <c r="S2030" s="985"/>
      <c r="T2030" s="1858">
        <f>IFERROR(HLOOKUP(B2030,pp1p!$1:$3,3,0),0)</f>
        <v>0</v>
      </c>
    </row>
    <row r="2031" spans="1:20" ht="22.2" hidden="1" customHeight="1">
      <c r="A2031" s="1444">
        <f>COUNTIF($C$12:C2031,"x")</f>
        <v>60</v>
      </c>
      <c r="B2031" s="1451" t="s">
        <v>1266</v>
      </c>
      <c r="C2031" s="966" t="str">
        <f t="shared" si="363"/>
        <v xml:space="preserve"> </v>
      </c>
      <c r="D2031" s="1411">
        <f>D2029</f>
        <v>0</v>
      </c>
      <c r="E2031" s="976"/>
      <c r="F2031" s="988" t="str">
        <f>VLOOKUP($B2031,DG!A:D,DG!$C$2,)</f>
        <v>Chân sứ đỉnh thẳng dài 870mm</v>
      </c>
      <c r="G2031" s="976" t="str">
        <f>VLOOKUP($B2031,DG!A:D,DG!$D$2,)</f>
        <v>cái</v>
      </c>
      <c r="H2031" s="1689">
        <f t="shared" si="369"/>
        <v>0</v>
      </c>
      <c r="I2031" s="1689"/>
      <c r="J2031" s="1689"/>
      <c r="K2031" s="1689"/>
      <c r="L2031" s="1689">
        <f t="shared" si="368"/>
        <v>0</v>
      </c>
      <c r="M2031" s="1689"/>
      <c r="N2031" s="1689"/>
      <c r="O2031" s="1689"/>
      <c r="P2031" s="1689">
        <f t="shared" si="366"/>
        <v>0</v>
      </c>
      <c r="Q2031" s="985"/>
      <c r="R2031" s="985"/>
      <c r="S2031" s="985"/>
      <c r="T2031" s="1858">
        <f>IFERROR(HLOOKUP(B2031,pp1p!$1:$3,3,0),0)</f>
        <v>0</v>
      </c>
    </row>
    <row r="2032" spans="1:20" ht="22.2" hidden="1" customHeight="1">
      <c r="A2032" s="1444">
        <f>COUNTIF($C$12:C2032,"x")</f>
        <v>60</v>
      </c>
      <c r="B2032" s="1451" t="s">
        <v>1610</v>
      </c>
      <c r="C2032" s="966" t="str">
        <f t="shared" si="363"/>
        <v xml:space="preserve"> </v>
      </c>
      <c r="D2032" s="1411">
        <f>D2029*2</f>
        <v>0</v>
      </c>
      <c r="E2032" s="976"/>
      <c r="F2032" s="988" t="str">
        <f>VLOOKUP($B2032,DG!A:D,DG!$C$2,)</f>
        <v>Boulon 16x300+ 2 long đền vuông D18-50x50x3/Zn</v>
      </c>
      <c r="G2032" s="976" t="str">
        <f>VLOOKUP($B2032,DG!A:D,DG!$D$2,)</f>
        <v>bộ</v>
      </c>
      <c r="H2032" s="1689">
        <f t="shared" si="369"/>
        <v>0</v>
      </c>
      <c r="I2032" s="1689"/>
      <c r="J2032" s="1689"/>
      <c r="K2032" s="1689"/>
      <c r="L2032" s="1689">
        <f t="shared" si="368"/>
        <v>0</v>
      </c>
      <c r="M2032" s="1689"/>
      <c r="N2032" s="1689"/>
      <c r="O2032" s="1689"/>
      <c r="P2032" s="1689">
        <f t="shared" si="366"/>
        <v>0</v>
      </c>
      <c r="Q2032" s="985"/>
      <c r="R2032" s="985"/>
      <c r="S2032" s="985"/>
      <c r="T2032" s="1858">
        <f>IFERROR(HLOOKUP(B2032,pp1p!$1:$3,3,0),0)</f>
        <v>0</v>
      </c>
    </row>
    <row r="2033" spans="1:20" ht="22.2" hidden="1" customHeight="1">
      <c r="A2033" s="1444">
        <f>COUNTIF($C$12:C2033,"x")</f>
        <v>60</v>
      </c>
      <c r="B2033" s="1470" t="s">
        <v>2508</v>
      </c>
      <c r="C2033" s="966" t="str">
        <f t="shared" si="363"/>
        <v xml:space="preserve"> </v>
      </c>
      <c r="D2033" s="1425">
        <f>pp1p!BP94</f>
        <v>0</v>
      </c>
      <c r="E2033" s="980"/>
      <c r="F2033" s="994" t="s">
        <v>2509</v>
      </c>
      <c r="G2033" s="1212" t="s">
        <v>2439</v>
      </c>
      <c r="H2033" s="1690">
        <f t="shared" si="369"/>
        <v>0</v>
      </c>
      <c r="I2033" s="1690"/>
      <c r="J2033" s="1690"/>
      <c r="K2033" s="1689"/>
      <c r="L2033" s="1688">
        <f>IFERROR(HLOOKUP(chitiet!B2033,pp1p!$1:$3,2,0),0)</f>
        <v>0</v>
      </c>
      <c r="M2033" s="1690"/>
      <c r="N2033" s="1690"/>
      <c r="O2033" s="1690"/>
      <c r="P2033" s="1689">
        <f t="shared" si="366"/>
        <v>0</v>
      </c>
      <c r="Q2033" s="984"/>
      <c r="R2033" s="984"/>
      <c r="S2033" s="984"/>
      <c r="T2033" s="1858">
        <f>IFERROR(HLOOKUP(B2033,pp1p!$1:$3,3,0),0)</f>
        <v>0</v>
      </c>
    </row>
    <row r="2034" spans="1:20" ht="22.2" hidden="1" customHeight="1">
      <c r="A2034" s="1444">
        <f>COUNTIF($C$12:C2034,"x")</f>
        <v>60</v>
      </c>
      <c r="B2034" s="1451" t="s">
        <v>696</v>
      </c>
      <c r="C2034" s="966" t="str">
        <f t="shared" ref="C2034:C2099" si="370">IF(OR(P2034&lt;&gt;0,H2034&lt;&gt;0),"x"," ")</f>
        <v xml:space="preserve"> </v>
      </c>
      <c r="D2034" s="1414">
        <f>D2033*2</f>
        <v>0</v>
      </c>
      <c r="E2034" s="980"/>
      <c r="F2034" s="988" t="str">
        <f>VLOOKUP($B2034,DG!A:D,DG!$C$2,)</f>
        <v xml:space="preserve">Sứ đứng 24KV </v>
      </c>
      <c r="G2034" s="976" t="str">
        <f>VLOOKUP($B2034,DG!A:D,DG!$D$2,)</f>
        <v>cái</v>
      </c>
      <c r="H2034" s="1690">
        <f t="shared" si="369"/>
        <v>0</v>
      </c>
      <c r="I2034" s="1690"/>
      <c r="J2034" s="1690"/>
      <c r="K2034" s="1689"/>
      <c r="L2034" s="1689">
        <f t="shared" si="368"/>
        <v>0</v>
      </c>
      <c r="M2034" s="1690"/>
      <c r="N2034" s="1690"/>
      <c r="O2034" s="1690"/>
      <c r="P2034" s="1689">
        <f t="shared" si="366"/>
        <v>0</v>
      </c>
      <c r="Q2034" s="984"/>
      <c r="R2034" s="984"/>
      <c r="S2034" s="984"/>
      <c r="T2034" s="1858">
        <f>IFERROR(HLOOKUP(B2034,pp1p!$1:$3,3,0),0)</f>
        <v>0</v>
      </c>
    </row>
    <row r="2035" spans="1:20" ht="22.2" hidden="1" customHeight="1">
      <c r="A2035" s="1444">
        <f>COUNTIF($C$12:C2035,"x")</f>
        <v>60</v>
      </c>
      <c r="B2035" s="1451" t="s">
        <v>590</v>
      </c>
      <c r="C2035" s="966" t="str">
        <f t="shared" si="370"/>
        <v xml:space="preserve"> </v>
      </c>
      <c r="D2035" s="1414">
        <f>D2033*2</f>
        <v>0</v>
      </c>
      <c r="E2035" s="980"/>
      <c r="F2035" s="988" t="str">
        <f>VLOOKUP($B2035,DG!A:D,DG!$C$2,)</f>
        <v>Chân sứ đỉnh đỡ góc dài 870mm</v>
      </c>
      <c r="G2035" s="976" t="str">
        <f>VLOOKUP($B2035,DG!A:D,DG!$D$2,)</f>
        <v>cái</v>
      </c>
      <c r="H2035" s="1690">
        <f t="shared" si="369"/>
        <v>0</v>
      </c>
      <c r="I2035" s="1690"/>
      <c r="J2035" s="1690"/>
      <c r="K2035" s="1689"/>
      <c r="L2035" s="1689">
        <f t="shared" si="368"/>
        <v>0</v>
      </c>
      <c r="M2035" s="1690"/>
      <c r="N2035" s="1690"/>
      <c r="O2035" s="1690"/>
      <c r="P2035" s="1689">
        <f t="shared" si="366"/>
        <v>0</v>
      </c>
      <c r="Q2035" s="984"/>
      <c r="R2035" s="984"/>
      <c r="S2035" s="984"/>
      <c r="T2035" s="1858">
        <f>IFERROR(HLOOKUP(B2035,pp1p!$1:$3,3,0),0)</f>
        <v>0</v>
      </c>
    </row>
    <row r="2036" spans="1:20" ht="22.2" hidden="1" customHeight="1">
      <c r="A2036" s="1444">
        <f>COUNTIF($C$12:C2036,"x")</f>
        <v>60</v>
      </c>
      <c r="B2036" s="1451" t="s">
        <v>1610</v>
      </c>
      <c r="C2036" s="966" t="str">
        <f t="shared" si="370"/>
        <v xml:space="preserve"> </v>
      </c>
      <c r="D2036" s="1414">
        <f>D2033*2</f>
        <v>0</v>
      </c>
      <c r="E2036" s="980"/>
      <c r="F2036" s="988" t="str">
        <f>VLOOKUP($B2036,DG!A:D,DG!$C$2,)</f>
        <v>Boulon 16x300+ 2 long đền vuông D18-50x50x3/Zn</v>
      </c>
      <c r="G2036" s="976" t="str">
        <f>VLOOKUP($B2036,DG!A:D,DG!$D$2,)</f>
        <v>bộ</v>
      </c>
      <c r="H2036" s="1690">
        <f t="shared" si="369"/>
        <v>0</v>
      </c>
      <c r="I2036" s="1690"/>
      <c r="J2036" s="1690"/>
      <c r="K2036" s="1689"/>
      <c r="L2036" s="1689">
        <f t="shared" si="368"/>
        <v>0</v>
      </c>
      <c r="M2036" s="1690"/>
      <c r="N2036" s="1690"/>
      <c r="O2036" s="1690"/>
      <c r="P2036" s="1689">
        <f t="shared" si="366"/>
        <v>0</v>
      </c>
      <c r="Q2036" s="984"/>
      <c r="R2036" s="984"/>
      <c r="S2036" s="984"/>
      <c r="T2036" s="1858">
        <f>IFERROR(HLOOKUP(B2036,pp1p!$1:$3,3,0),0)</f>
        <v>0</v>
      </c>
    </row>
    <row r="2037" spans="1:20" ht="22.2" hidden="1" customHeight="1">
      <c r="A2037" s="1444">
        <f>COUNTIF($C$12:C2037,"x")</f>
        <v>60</v>
      </c>
      <c r="B2037" s="1468" t="s">
        <v>2510</v>
      </c>
      <c r="C2037" s="966" t="str">
        <f t="shared" si="370"/>
        <v xml:space="preserve"> </v>
      </c>
      <c r="D2037" s="1424">
        <f>pp1p!BV94</f>
        <v>0</v>
      </c>
      <c r="E2037" s="976"/>
      <c r="F2037" s="994" t="s">
        <v>2511</v>
      </c>
      <c r="G2037" s="995" t="s">
        <v>2512</v>
      </c>
      <c r="H2037" s="1689">
        <f t="shared" si="369"/>
        <v>0</v>
      </c>
      <c r="I2037" s="1689"/>
      <c r="J2037" s="1689"/>
      <c r="K2037" s="1689"/>
      <c r="L2037" s="1688">
        <f>IFERROR(HLOOKUP(chitiet!B2037,pp1p!$1:$3,2,0),0)</f>
        <v>0</v>
      </c>
      <c r="M2037" s="1689"/>
      <c r="N2037" s="1689"/>
      <c r="O2037" s="1689"/>
      <c r="P2037" s="1689">
        <f t="shared" si="366"/>
        <v>0</v>
      </c>
      <c r="Q2037" s="985"/>
      <c r="R2037" s="985"/>
      <c r="S2037" s="985"/>
      <c r="T2037" s="1858">
        <f>IFERROR(HLOOKUP(B2037,pp1p!$1:$3,3,0),0)</f>
        <v>0</v>
      </c>
    </row>
    <row r="2038" spans="1:20" ht="22.2" hidden="1" customHeight="1">
      <c r="A2038" s="1444">
        <f>COUNTIF($C$12:C2038,"x")</f>
        <v>60</v>
      </c>
      <c r="B2038" s="1451" t="s">
        <v>1267</v>
      </c>
      <c r="C2038" s="966" t="str">
        <f t="shared" si="370"/>
        <v xml:space="preserve"> </v>
      </c>
      <c r="D2038" s="1411">
        <f>D2037*2</f>
        <v>0</v>
      </c>
      <c r="E2038" s="976"/>
      <c r="F2038" s="988" t="str">
        <f>VLOOKUP($B2038,DG!A:D,DG!$C$2,)</f>
        <v>Sứ treo loại 70kN</v>
      </c>
      <c r="G2038" s="976" t="str">
        <f>VLOOKUP($B2038,DG!A:D,DG!$D$2,)</f>
        <v>bát</v>
      </c>
      <c r="H2038" s="1689">
        <f t="shared" si="369"/>
        <v>0</v>
      </c>
      <c r="I2038" s="1689"/>
      <c r="J2038" s="1689"/>
      <c r="K2038" s="1689"/>
      <c r="L2038" s="1689">
        <f t="shared" si="368"/>
        <v>0</v>
      </c>
      <c r="M2038" s="1689"/>
      <c r="N2038" s="1689"/>
      <c r="O2038" s="1689"/>
      <c r="P2038" s="1689">
        <f t="shared" si="366"/>
        <v>0</v>
      </c>
      <c r="Q2038" s="985"/>
      <c r="R2038" s="985"/>
      <c r="S2038" s="985"/>
      <c r="T2038" s="1858">
        <f>IFERROR(HLOOKUP(B2038,pp1p!$1:$3,3,0),0)</f>
        <v>0</v>
      </c>
    </row>
    <row r="2039" spans="1:20" ht="22.2" hidden="1" customHeight="1">
      <c r="A2039" s="1444">
        <f>COUNTIF($C$12:C2039,"x")</f>
        <v>60</v>
      </c>
      <c r="B2039" s="1451" t="s">
        <v>1486</v>
      </c>
      <c r="C2039" s="966" t="str">
        <f t="shared" si="370"/>
        <v xml:space="preserve"> </v>
      </c>
      <c r="D2039" s="1411">
        <f>D2037*2</f>
        <v>0</v>
      </c>
      <c r="E2039" s="976"/>
      <c r="F2039" s="988" t="str">
        <f>VLOOKUP($B2039,DG!A:D,DG!$C$2,)</f>
        <v xml:space="preserve">Móc treo chữ U </v>
      </c>
      <c r="G2039" s="976" t="str">
        <f>VLOOKUP($B2039,DG!A:D,DG!$D$2,)</f>
        <v>cái</v>
      </c>
      <c r="H2039" s="1689">
        <f t="shared" si="369"/>
        <v>0</v>
      </c>
      <c r="I2039" s="1689"/>
      <c r="J2039" s="1689"/>
      <c r="K2039" s="1689"/>
      <c r="L2039" s="1689">
        <f t="shared" si="368"/>
        <v>0</v>
      </c>
      <c r="M2039" s="1689"/>
      <c r="N2039" s="1689"/>
      <c r="O2039" s="1689"/>
      <c r="P2039" s="1689">
        <f t="shared" si="366"/>
        <v>0</v>
      </c>
      <c r="Q2039" s="985"/>
      <c r="R2039" s="985"/>
      <c r="S2039" s="985"/>
      <c r="T2039" s="1858">
        <f>IFERROR(HLOOKUP(B2039,pp1p!$1:$3,3,0),0)</f>
        <v>0</v>
      </c>
    </row>
    <row r="2040" spans="1:20" ht="22.2" hidden="1" customHeight="1">
      <c r="A2040" s="1444">
        <f>COUNTIF($C$12:C2040,"x")</f>
        <v>60</v>
      </c>
      <c r="B2040" s="1451" t="s">
        <v>1569</v>
      </c>
      <c r="C2040" s="966" t="str">
        <f t="shared" si="370"/>
        <v xml:space="preserve"> </v>
      </c>
      <c r="D2040" s="1411">
        <f>D2037</f>
        <v>0</v>
      </c>
      <c r="E2040" s="976"/>
      <c r="F2040" s="988" t="str">
        <f>VLOOKUP($B2040,DG!A:D,DG!$C$2,)</f>
        <v>Vòng treo đầu tròn</v>
      </c>
      <c r="G2040" s="976" t="str">
        <f>VLOOKUP($B2040,DG!A:D,DG!$D$2,)</f>
        <v>cái</v>
      </c>
      <c r="H2040" s="1689">
        <f t="shared" si="369"/>
        <v>0</v>
      </c>
      <c r="I2040" s="1689"/>
      <c r="J2040" s="1689"/>
      <c r="K2040" s="1689"/>
      <c r="L2040" s="1689">
        <f t="shared" si="368"/>
        <v>0</v>
      </c>
      <c r="M2040" s="1689"/>
      <c r="N2040" s="1689"/>
      <c r="O2040" s="1689"/>
      <c r="P2040" s="1689">
        <f t="shared" si="366"/>
        <v>0</v>
      </c>
      <c r="Q2040" s="985"/>
      <c r="R2040" s="985"/>
      <c r="S2040" s="985"/>
      <c r="T2040" s="1858">
        <f>IFERROR(HLOOKUP(B2040,pp1p!$1:$3,3,0),0)</f>
        <v>0</v>
      </c>
    </row>
    <row r="2041" spans="1:20" ht="22.2" hidden="1" customHeight="1">
      <c r="A2041" s="1444">
        <f>COUNTIF($C$12:C2041,"x")</f>
        <v>60</v>
      </c>
      <c r="B2041" s="1451" t="s">
        <v>1484</v>
      </c>
      <c r="C2041" s="966" t="str">
        <f t="shared" si="370"/>
        <v xml:space="preserve"> </v>
      </c>
      <c r="D2041" s="1411">
        <f>D2037</f>
        <v>0</v>
      </c>
      <c r="E2041" s="976"/>
      <c r="F2041" s="988" t="str">
        <f>VLOOKUP($B2041,DG!A:D,DG!$C$2,)</f>
        <v>Mắt nối đơn</v>
      </c>
      <c r="G2041" s="976" t="str">
        <f>VLOOKUP($B2041,DG!A:D,DG!$D$2,)</f>
        <v>cái</v>
      </c>
      <c r="H2041" s="1689">
        <f t="shared" si="369"/>
        <v>0</v>
      </c>
      <c r="I2041" s="1689"/>
      <c r="J2041" s="1689"/>
      <c r="K2041" s="1689"/>
      <c r="L2041" s="1689">
        <f t="shared" si="368"/>
        <v>0</v>
      </c>
      <c r="M2041" s="1689"/>
      <c r="N2041" s="1689"/>
      <c r="O2041" s="1689"/>
      <c r="P2041" s="1689">
        <f t="shared" si="366"/>
        <v>0</v>
      </c>
      <c r="Q2041" s="985"/>
      <c r="R2041" s="985"/>
      <c r="S2041" s="985"/>
      <c r="T2041" s="1858">
        <f>IFERROR(HLOOKUP(B2041,pp1p!$1:$3,3,0),0)</f>
        <v>0</v>
      </c>
    </row>
    <row r="2042" spans="1:20" ht="22.2" hidden="1" customHeight="1">
      <c r="A2042" s="1444">
        <f>COUNTIF($C$12:C2042,"x")</f>
        <v>60</v>
      </c>
      <c r="B2042" s="1451" t="s">
        <v>1268</v>
      </c>
      <c r="C2042" s="966" t="str">
        <f t="shared" si="370"/>
        <v xml:space="preserve"> </v>
      </c>
      <c r="D2042" s="1411">
        <f>D2037</f>
        <v>0</v>
      </c>
      <c r="E2042" s="976"/>
      <c r="F2042" s="988" t="str">
        <f>VLOOKUP($B2042,DG!A:D,DG!$C$2,)</f>
        <v>Boulon mắt 16x300+ 2 long đền vuông D18-50x50x3/Zn</v>
      </c>
      <c r="G2042" s="976" t="str">
        <f>VLOOKUP($B2042,DG!A:D,DG!$D$2,)</f>
        <v>bộ</v>
      </c>
      <c r="H2042" s="1689">
        <f t="shared" si="369"/>
        <v>0</v>
      </c>
      <c r="I2042" s="1689"/>
      <c r="J2042" s="1689"/>
      <c r="K2042" s="1689"/>
      <c r="L2042" s="1689">
        <f t="shared" si="368"/>
        <v>0</v>
      </c>
      <c r="M2042" s="1689"/>
      <c r="N2042" s="1689"/>
      <c r="O2042" s="1689"/>
      <c r="P2042" s="1689">
        <f t="shared" si="366"/>
        <v>0</v>
      </c>
      <c r="Q2042" s="985"/>
      <c r="R2042" s="985"/>
      <c r="S2042" s="985"/>
      <c r="T2042" s="1858">
        <f>IFERROR(HLOOKUP(B2042,pp1p!$1:$3,3,0),0)</f>
        <v>0</v>
      </c>
    </row>
    <row r="2043" spans="1:20" ht="22.2" hidden="1" customHeight="1">
      <c r="A2043" s="1444">
        <f>COUNTIF($C$12:C2043,"x")</f>
        <v>60</v>
      </c>
      <c r="B2043" s="1468" t="s">
        <v>2540</v>
      </c>
      <c r="C2043" s="966" t="str">
        <f t="shared" si="370"/>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6"/>
        <v>0</v>
      </c>
      <c r="Q2043" s="985"/>
      <c r="R2043" s="985"/>
      <c r="S2043" s="985"/>
      <c r="T2043" s="1858">
        <f>IFERROR(HLOOKUP(B2043,pp1p!$1:$3,3,0),0)</f>
        <v>0</v>
      </c>
    </row>
    <row r="2044" spans="1:20" ht="22.2" hidden="1" customHeight="1">
      <c r="A2044" s="1444">
        <f>COUNTIF($C$12:C2044,"x")</f>
        <v>60</v>
      </c>
      <c r="B2044" s="1451" t="s">
        <v>1506</v>
      </c>
      <c r="C2044" s="966" t="str">
        <f t="shared" si="370"/>
        <v xml:space="preserve"> </v>
      </c>
      <c r="D2044" s="1411">
        <f>D2043</f>
        <v>0</v>
      </c>
      <c r="E2044" s="976"/>
      <c r="F2044" s="988" t="str">
        <f>VLOOKUP($B2044,DG!A:D,DG!$C$2,)</f>
        <v>Sứ treo polymer</v>
      </c>
      <c r="G2044" s="976" t="s">
        <v>2512</v>
      </c>
      <c r="H2044" s="1689">
        <f>$D2044</f>
        <v>0</v>
      </c>
      <c r="I2044" s="1689"/>
      <c r="J2044" s="1689"/>
      <c r="K2044" s="1689">
        <f>D2044*0</f>
        <v>0</v>
      </c>
      <c r="L2044" s="1689">
        <f t="shared" si="368"/>
        <v>0</v>
      </c>
      <c r="M2044" s="1689"/>
      <c r="N2044" s="1689"/>
      <c r="O2044" s="1689"/>
      <c r="P2044" s="1689">
        <f t="shared" si="366"/>
        <v>0</v>
      </c>
      <c r="Q2044" s="985"/>
      <c r="R2044" s="985"/>
      <c r="S2044" s="985"/>
      <c r="T2044" s="1858">
        <f>IFERROR(HLOOKUP(B2044,pp1p!$1:$3,3,0),0)</f>
        <v>0</v>
      </c>
    </row>
    <row r="2045" spans="1:20" ht="22.2" hidden="1" customHeight="1">
      <c r="A2045" s="1444">
        <f>COUNTIF($C$12:C2045,"x")</f>
        <v>60</v>
      </c>
      <c r="B2045" s="1451" t="s">
        <v>1486</v>
      </c>
      <c r="C2045" s="966" t="str">
        <f t="shared" si="370"/>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8"/>
        <v>0</v>
      </c>
      <c r="M2045" s="1689"/>
      <c r="N2045" s="1689"/>
      <c r="O2045" s="1689"/>
      <c r="P2045" s="1689">
        <f t="shared" si="366"/>
        <v>0</v>
      </c>
      <c r="Q2045" s="985"/>
      <c r="R2045" s="985"/>
      <c r="S2045" s="985"/>
      <c r="T2045" s="1858">
        <f>IFERROR(HLOOKUP(B2045,pp1p!$1:$3,3,0),0)</f>
        <v>0</v>
      </c>
    </row>
    <row r="2046" spans="1:20" ht="22.2" hidden="1" customHeight="1">
      <c r="A2046" s="1444">
        <f>COUNTIF($C$12:C2046,"x")</f>
        <v>60</v>
      </c>
      <c r="B2046" s="1451" t="s">
        <v>385</v>
      </c>
      <c r="C2046" s="966" t="str">
        <f t="shared" si="370"/>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8"/>
        <v>0</v>
      </c>
      <c r="M2046" s="1689"/>
      <c r="N2046" s="1689"/>
      <c r="O2046" s="1689"/>
      <c r="P2046" s="1689">
        <f t="shared" si="366"/>
        <v>0</v>
      </c>
      <c r="Q2046" s="985"/>
      <c r="R2046" s="985"/>
      <c r="S2046" s="985"/>
      <c r="T2046" s="1858">
        <f>IFERROR(HLOOKUP(B2046,pp1p!$1:$3,3,0),0)</f>
        <v>0</v>
      </c>
    </row>
    <row r="2047" spans="1:20" ht="22.2" hidden="1" customHeight="1">
      <c r="A2047" s="1444">
        <f>COUNTIF($C$12:C2047,"x")</f>
        <v>60</v>
      </c>
      <c r="B2047" s="1468" t="s">
        <v>2541</v>
      </c>
      <c r="C2047" s="966" t="str">
        <f t="shared" si="370"/>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6"/>
        <v>0</v>
      </c>
      <c r="Q2047" s="985"/>
      <c r="R2047" s="985"/>
      <c r="S2047" s="985"/>
      <c r="T2047" s="1858">
        <f>IFERROR(HLOOKUP(B2047,pp1p!$1:$3,3,0),0)</f>
        <v>0</v>
      </c>
    </row>
    <row r="2048" spans="1:20" ht="22.2" hidden="1" customHeight="1">
      <c r="A2048" s="1444">
        <f>COUNTIF($C$12:C2048,"x")</f>
        <v>60</v>
      </c>
      <c r="B2048" s="1451" t="s">
        <v>1506</v>
      </c>
      <c r="C2048" s="966" t="str">
        <f t="shared" si="370"/>
        <v xml:space="preserve"> </v>
      </c>
      <c r="D2048" s="1411">
        <f>D2047</f>
        <v>0</v>
      </c>
      <c r="E2048" s="976"/>
      <c r="F2048" s="988" t="str">
        <f>VLOOKUP($B2048,DG!A:D,DG!$C$2,)</f>
        <v>Sứ treo polymer</v>
      </c>
      <c r="G2048" s="976" t="s">
        <v>2512</v>
      </c>
      <c r="H2048" s="1689">
        <f>$D2048</f>
        <v>0</v>
      </c>
      <c r="I2048" s="1689"/>
      <c r="J2048" s="1689"/>
      <c r="K2048" s="1689"/>
      <c r="L2048" s="1689">
        <f t="shared" si="368"/>
        <v>0</v>
      </c>
      <c r="M2048" s="1689"/>
      <c r="N2048" s="1689"/>
      <c r="O2048" s="1689"/>
      <c r="P2048" s="1689">
        <f t="shared" si="366"/>
        <v>0</v>
      </c>
      <c r="Q2048" s="985"/>
      <c r="R2048" s="985"/>
      <c r="S2048" s="985"/>
      <c r="T2048" s="1858">
        <f>IFERROR(HLOOKUP(B2048,pp1p!$1:$3,3,0),0)</f>
        <v>0</v>
      </c>
    </row>
    <row r="2049" spans="1:20" ht="22.2" hidden="1" customHeight="1">
      <c r="A2049" s="1444">
        <f>COUNTIF($C$12:C2049,"x")</f>
        <v>60</v>
      </c>
      <c r="B2049" s="1451" t="s">
        <v>1482</v>
      </c>
      <c r="C2049" s="966" t="str">
        <f t="shared" si="370"/>
        <v xml:space="preserve"> </v>
      </c>
      <c r="D2049" s="1411">
        <f>D2048</f>
        <v>0</v>
      </c>
      <c r="E2049" s="976"/>
      <c r="F2049" s="988" t="str">
        <f>VLOOKUP($B2049,DG!A:D,DG!$C$2,)</f>
        <v>Khóa néo dây cỡ dây 50</v>
      </c>
      <c r="G2049" s="976" t="s">
        <v>2512</v>
      </c>
      <c r="H2049" s="1689">
        <f>$D2049</f>
        <v>0</v>
      </c>
      <c r="I2049" s="1689"/>
      <c r="J2049" s="1689"/>
      <c r="K2049" s="1689"/>
      <c r="L2049" s="1689">
        <f t="shared" si="368"/>
        <v>0</v>
      </c>
      <c r="M2049" s="1689"/>
      <c r="N2049" s="1689"/>
      <c r="O2049" s="1689"/>
      <c r="P2049" s="1689">
        <f t="shared" si="366"/>
        <v>0</v>
      </c>
      <c r="Q2049" s="985"/>
      <c r="R2049" s="985"/>
      <c r="S2049" s="985"/>
      <c r="T2049" s="1858">
        <f>IFERROR(HLOOKUP(B2049,pp1p!$1:$3,3,0),0)</f>
        <v>0</v>
      </c>
    </row>
    <row r="2050" spans="1:20" ht="22.2" hidden="1" customHeight="1">
      <c r="A2050" s="1444">
        <f>COUNTIF($C$12:C2050,"x")</f>
        <v>60</v>
      </c>
      <c r="B2050" s="1451" t="s">
        <v>1486</v>
      </c>
      <c r="C2050" s="966" t="str">
        <f t="shared" si="370"/>
        <v xml:space="preserve"> </v>
      </c>
      <c r="D2050" s="1411">
        <f>D2049*2</f>
        <v>0</v>
      </c>
      <c r="E2050" s="976"/>
      <c r="F2050" s="988" t="str">
        <f>VLOOKUP($B2050,DG!A:D,DG!$C$2,)</f>
        <v xml:space="preserve">Móc treo chữ U </v>
      </c>
      <c r="G2050" s="976" t="s">
        <v>2555</v>
      </c>
      <c r="H2050" s="1689">
        <f>$D2050</f>
        <v>0</v>
      </c>
      <c r="I2050" s="1689"/>
      <c r="J2050" s="1689"/>
      <c r="K2050" s="1689"/>
      <c r="L2050" s="1689">
        <f t="shared" si="368"/>
        <v>0</v>
      </c>
      <c r="M2050" s="1689"/>
      <c r="N2050" s="1689"/>
      <c r="O2050" s="1689"/>
      <c r="P2050" s="1689">
        <f t="shared" si="366"/>
        <v>0</v>
      </c>
      <c r="Q2050" s="985"/>
      <c r="R2050" s="985"/>
      <c r="S2050" s="985"/>
      <c r="T2050" s="1858">
        <f>IFERROR(HLOOKUP(B2050,pp1p!$1:$3,3,0),0)</f>
        <v>0</v>
      </c>
    </row>
    <row r="2051" spans="1:20" ht="22.2" hidden="1" customHeight="1">
      <c r="A2051" s="1444">
        <f>COUNTIF($C$12:C2051,"x")</f>
        <v>60</v>
      </c>
      <c r="B2051" s="1451" t="s">
        <v>4493</v>
      </c>
      <c r="C2051" s="966" t="str">
        <f t="shared" si="370"/>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6"/>
        <v>0</v>
      </c>
      <c r="Q2051" s="985"/>
      <c r="R2051" s="985"/>
      <c r="S2051" s="985"/>
      <c r="T2051" s="1858">
        <f>IFERROR(HLOOKUP(B2051,pp1p!$1:$3,3,0),0)</f>
        <v>0</v>
      </c>
    </row>
    <row r="2052" spans="1:20" ht="22.2" hidden="1" customHeight="1">
      <c r="A2052" s="1444">
        <f>COUNTIF($C$12:C2052,"x")</f>
        <v>60</v>
      </c>
      <c r="B2052" s="1451" t="s">
        <v>1268</v>
      </c>
      <c r="C2052" s="966" t="str">
        <f t="shared" si="370"/>
        <v xml:space="preserve"> </v>
      </c>
      <c r="D2052" s="1411">
        <f>D2049</f>
        <v>0</v>
      </c>
      <c r="E2052" s="976"/>
      <c r="F2052" s="988" t="str">
        <f>VLOOKUP($B2052,DG!A:D,DG!$C$2,)</f>
        <v>Boulon mắt 16x300+ 2 long đền vuông D18-50x50x3/Zn</v>
      </c>
      <c r="G2052" s="976" t="str">
        <f>VLOOKUP($B2052,DG!A:D,DG!$D$2,)</f>
        <v>bộ</v>
      </c>
      <c r="H2052" s="1689">
        <f t="shared" ref="H2052:H2057" si="371">D2052</f>
        <v>0</v>
      </c>
      <c r="I2052" s="1689"/>
      <c r="J2052" s="1689"/>
      <c r="K2052" s="1689"/>
      <c r="L2052" s="1689">
        <f t="shared" si="368"/>
        <v>0</v>
      </c>
      <c r="M2052" s="1689"/>
      <c r="N2052" s="1689"/>
      <c r="O2052" s="1689"/>
      <c r="P2052" s="1689">
        <f t="shared" si="366"/>
        <v>0</v>
      </c>
      <c r="Q2052" s="985"/>
      <c r="R2052" s="985"/>
      <c r="S2052" s="985"/>
      <c r="T2052" s="1858">
        <f>IFERROR(HLOOKUP(B2052,pp1p!$1:$3,3,0),0)</f>
        <v>0</v>
      </c>
    </row>
    <row r="2053" spans="1:20" ht="22.2" hidden="1" customHeight="1">
      <c r="A2053" s="1444">
        <f>COUNTIF($C$12:C2053,"x")</f>
        <v>60</v>
      </c>
      <c r="B2053" s="1468" t="s">
        <v>2513</v>
      </c>
      <c r="C2053" s="966" t="str">
        <f t="shared" si="370"/>
        <v xml:space="preserve"> </v>
      </c>
      <c r="D2053" s="1424">
        <f>pp1p!BW94</f>
        <v>0</v>
      </c>
      <c r="E2053" s="976"/>
      <c r="F2053" s="994" t="s">
        <v>2557</v>
      </c>
      <c r="G2053" s="995" t="s">
        <v>2512</v>
      </c>
      <c r="H2053" s="1689">
        <f t="shared" si="371"/>
        <v>0</v>
      </c>
      <c r="I2053" s="1689"/>
      <c r="J2053" s="1689"/>
      <c r="K2053" s="1689"/>
      <c r="L2053" s="1688">
        <f>IFERROR(HLOOKUP(chitiet!B2053,pp1p!$1:$3,2,0),0)</f>
        <v>0</v>
      </c>
      <c r="M2053" s="1689"/>
      <c r="N2053" s="1689"/>
      <c r="O2053" s="1689"/>
      <c r="P2053" s="1689">
        <f t="shared" si="366"/>
        <v>0</v>
      </c>
      <c r="Q2053" s="985"/>
      <c r="R2053" s="985"/>
      <c r="S2053" s="985"/>
      <c r="T2053" s="1858">
        <f>IFERROR(HLOOKUP(B2053,pp1p!$1:$3,3,0),0)</f>
        <v>0</v>
      </c>
    </row>
    <row r="2054" spans="1:20" ht="22.2" hidden="1" customHeight="1">
      <c r="A2054" s="1444">
        <f>COUNTIF($C$12:C2054,"x")</f>
        <v>60</v>
      </c>
      <c r="B2054" s="1451" t="s">
        <v>112</v>
      </c>
      <c r="C2054" s="966" t="str">
        <f t="shared" si="370"/>
        <v xml:space="preserve"> </v>
      </c>
      <c r="D2054" s="1411">
        <f>D2053*2</f>
        <v>0</v>
      </c>
      <c r="E2054" s="976"/>
      <c r="F2054" s="988" t="str">
        <f>VLOOKUP($B2054,DG!A:D,DG!$C$2,)</f>
        <v>Sứ treo loại 70kN</v>
      </c>
      <c r="G2054" s="976" t="str">
        <f>VLOOKUP($B2054,DG!A:D,DG!$D$2,)</f>
        <v>bát</v>
      </c>
      <c r="H2054" s="1689">
        <f t="shared" si="371"/>
        <v>0</v>
      </c>
      <c r="I2054" s="1689"/>
      <c r="J2054" s="1689"/>
      <c r="K2054" s="1689"/>
      <c r="L2054" s="1689">
        <f t="shared" si="368"/>
        <v>0</v>
      </c>
      <c r="M2054" s="1689"/>
      <c r="N2054" s="1689"/>
      <c r="O2054" s="1689"/>
      <c r="P2054" s="1689">
        <f t="shared" si="366"/>
        <v>0</v>
      </c>
      <c r="Q2054" s="985"/>
      <c r="R2054" s="985"/>
      <c r="S2054" s="985"/>
      <c r="T2054" s="1858">
        <f>IFERROR(HLOOKUP(B2054,pp1p!$1:$3,3,0),0)</f>
        <v>0</v>
      </c>
    </row>
    <row r="2055" spans="1:20" ht="22.2" hidden="1" customHeight="1">
      <c r="A2055" s="1444">
        <f>COUNTIF($C$12:C2055,"x")</f>
        <v>60</v>
      </c>
      <c r="B2055" s="1451" t="s">
        <v>1486</v>
      </c>
      <c r="C2055" s="966" t="str">
        <f t="shared" si="370"/>
        <v xml:space="preserve"> </v>
      </c>
      <c r="D2055" s="1411">
        <f>D2053*2</f>
        <v>0</v>
      </c>
      <c r="E2055" s="976"/>
      <c r="F2055" s="988" t="str">
        <f>VLOOKUP($B2055,DG!A:D,DG!$C$2,)</f>
        <v xml:space="preserve">Móc treo chữ U </v>
      </c>
      <c r="G2055" s="976" t="str">
        <f>VLOOKUP($B2055,DG!A:D,DG!$D$2,)</f>
        <v>cái</v>
      </c>
      <c r="H2055" s="1689">
        <f t="shared" si="371"/>
        <v>0</v>
      </c>
      <c r="I2055" s="1689"/>
      <c r="J2055" s="1689"/>
      <c r="K2055" s="1689"/>
      <c r="L2055" s="1689">
        <f t="shared" si="368"/>
        <v>0</v>
      </c>
      <c r="M2055" s="1689"/>
      <c r="N2055" s="1689"/>
      <c r="O2055" s="1689"/>
      <c r="P2055" s="1689">
        <f t="shared" si="366"/>
        <v>0</v>
      </c>
      <c r="Q2055" s="985"/>
      <c r="R2055" s="985"/>
      <c r="S2055" s="985"/>
      <c r="T2055" s="1858">
        <f>IFERROR(HLOOKUP(B2055,pp1p!$1:$3,3,0),0)</f>
        <v>0</v>
      </c>
    </row>
    <row r="2056" spans="1:20" ht="22.2" hidden="1" customHeight="1">
      <c r="A2056" s="1444">
        <f>COUNTIF($C$12:C2056,"x")</f>
        <v>60</v>
      </c>
      <c r="B2056" s="1451" t="s">
        <v>1569</v>
      </c>
      <c r="C2056" s="966" t="str">
        <f t="shared" si="370"/>
        <v xml:space="preserve"> </v>
      </c>
      <c r="D2056" s="1411">
        <f>D2053</f>
        <v>0</v>
      </c>
      <c r="E2056" s="976"/>
      <c r="F2056" s="988" t="str">
        <f>VLOOKUP($B2056,DG!A:D,DG!$C$2,)</f>
        <v>Vòng treo đầu tròn</v>
      </c>
      <c r="G2056" s="976" t="str">
        <f>VLOOKUP($B2056,DG!A:D,DG!$D$2,)</f>
        <v>cái</v>
      </c>
      <c r="H2056" s="1689">
        <f t="shared" si="371"/>
        <v>0</v>
      </c>
      <c r="I2056" s="1689"/>
      <c r="J2056" s="1689"/>
      <c r="K2056" s="1689"/>
      <c r="L2056" s="1689">
        <f t="shared" si="368"/>
        <v>0</v>
      </c>
      <c r="M2056" s="1689"/>
      <c r="N2056" s="1689"/>
      <c r="O2056" s="1689"/>
      <c r="P2056" s="1689">
        <f t="shared" si="366"/>
        <v>0</v>
      </c>
      <c r="Q2056" s="985"/>
      <c r="R2056" s="985"/>
      <c r="S2056" s="985"/>
      <c r="T2056" s="1858">
        <f>IFERROR(HLOOKUP(B2056,pp1p!$1:$3,3,0),0)</f>
        <v>0</v>
      </c>
    </row>
    <row r="2057" spans="1:20" ht="22.2" hidden="1" customHeight="1">
      <c r="A2057" s="1444">
        <f>COUNTIF($C$12:C2057,"x")</f>
        <v>60</v>
      </c>
      <c r="B2057" s="1451" t="s">
        <v>1484</v>
      </c>
      <c r="C2057" s="966" t="str">
        <f t="shared" si="370"/>
        <v xml:space="preserve"> </v>
      </c>
      <c r="D2057" s="1411">
        <f>D2053</f>
        <v>0</v>
      </c>
      <c r="E2057" s="976"/>
      <c r="F2057" s="988" t="str">
        <f>VLOOKUP($B2057,DG!A:D,DG!$C$2,)</f>
        <v>Mắt nối đơn</v>
      </c>
      <c r="G2057" s="976" t="str">
        <f>VLOOKUP($B2057,DG!A:D,DG!$D$2,)</f>
        <v>cái</v>
      </c>
      <c r="H2057" s="1689">
        <f t="shared" si="371"/>
        <v>0</v>
      </c>
      <c r="I2057" s="1689"/>
      <c r="J2057" s="1689"/>
      <c r="K2057" s="1689"/>
      <c r="L2057" s="1689">
        <f t="shared" si="368"/>
        <v>0</v>
      </c>
      <c r="M2057" s="1689"/>
      <c r="N2057" s="1689"/>
      <c r="O2057" s="1689"/>
      <c r="P2057" s="1689">
        <f t="shared" si="366"/>
        <v>0</v>
      </c>
      <c r="Q2057" s="985"/>
      <c r="R2057" s="985"/>
      <c r="S2057" s="985"/>
      <c r="T2057" s="1858">
        <f>IFERROR(HLOOKUP(B2057,pp1p!$1:$3,3,0),0)</f>
        <v>0</v>
      </c>
    </row>
    <row r="2058" spans="1:20" ht="22.2" hidden="1" customHeight="1">
      <c r="A2058" s="1444">
        <f>COUNTIF($C$12:C2058,"x")</f>
        <v>60</v>
      </c>
      <c r="B2058" s="1456"/>
      <c r="C2058" s="966" t="str">
        <f>IF(OR(D2058&gt;0),"x","")</f>
        <v/>
      </c>
      <c r="D2058" s="1526"/>
      <c r="E2058" s="976"/>
      <c r="F2058" s="1375" t="s">
        <v>2544</v>
      </c>
      <c r="G2058" s="976"/>
      <c r="H2058" s="1689"/>
      <c r="I2058" s="1689"/>
      <c r="J2058" s="1689"/>
      <c r="K2058" s="1689"/>
      <c r="L2058" s="1689">
        <f t="shared" si="368"/>
        <v>0</v>
      </c>
      <c r="M2058" s="1689"/>
      <c r="N2058" s="1689"/>
      <c r="O2058" s="1689"/>
      <c r="P2058" s="1689">
        <f t="shared" si="366"/>
        <v>0</v>
      </c>
      <c r="Q2058" s="985"/>
      <c r="R2058" s="985"/>
      <c r="S2058" s="985"/>
      <c r="T2058" s="1858">
        <f>IFERROR(HLOOKUP(B2058,pp1p!$1:$3,3,0),0)</f>
        <v>0</v>
      </c>
    </row>
    <row r="2059" spans="1:20" ht="22.2" hidden="1" customHeight="1">
      <c r="A2059" s="1444">
        <f>COUNTIF($C$12:C2059,"x")</f>
        <v>60</v>
      </c>
      <c r="B2059" s="1456" t="s">
        <v>1175</v>
      </c>
      <c r="C2059" s="966" t="str">
        <f t="shared" si="370"/>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6"/>
        <v>0</v>
      </c>
      <c r="Q2059" s="985"/>
      <c r="R2059" s="985"/>
      <c r="S2059" s="985"/>
      <c r="T2059" s="1858">
        <f>IFERROR(HLOOKUP(B2059,pp1p!$1:$3,3,0),0)</f>
        <v>0</v>
      </c>
    </row>
    <row r="2060" spans="1:20" ht="22.2" hidden="1" customHeight="1">
      <c r="A2060" s="1444">
        <f>COUNTIF($C$12:C2060,"x")</f>
        <v>60</v>
      </c>
      <c r="B2060" s="1456" t="s">
        <v>1482</v>
      </c>
      <c r="C2060" s="966" t="str">
        <f t="shared" si="370"/>
        <v xml:space="preserve"> </v>
      </c>
      <c r="D2060" s="1411">
        <f>(D2037+D2053)-D2059-D2061</f>
        <v>0</v>
      </c>
      <c r="E2060" s="976"/>
      <c r="F2060" s="988" t="str">
        <f>VLOOKUP($B2060,DG!A:D,DG!$C$2,)</f>
        <v>Khóa néo dây cỡ dây 50</v>
      </c>
      <c r="G2060" s="976" t="str">
        <f>VLOOKUP($B2060,DG!A:D,DG!$D$2,)</f>
        <v>cái</v>
      </c>
      <c r="H2060" s="1689">
        <f t="shared" ref="H2060:H2097" si="372">D2060</f>
        <v>0</v>
      </c>
      <c r="I2060" s="1689"/>
      <c r="J2060" s="1689"/>
      <c r="K2060" s="1689"/>
      <c r="L2060" s="1688">
        <f>IFERROR(HLOOKUP(chitiet!B2060,pp1p!$1:$3,3,0),0)</f>
        <v>0</v>
      </c>
      <c r="M2060" s="1689"/>
      <c r="N2060" s="1689"/>
      <c r="O2060" s="1689"/>
      <c r="P2060" s="1689">
        <f t="shared" si="366"/>
        <v>0</v>
      </c>
      <c r="Q2060" s="985"/>
      <c r="R2060" s="985"/>
      <c r="S2060" s="985"/>
      <c r="T2060" s="1858">
        <f>IFERROR(HLOOKUP(B2060,pp1p!$1:$3,3,0),0)</f>
        <v>0</v>
      </c>
    </row>
    <row r="2061" spans="1:20" ht="22.2" hidden="1" customHeight="1">
      <c r="A2061" s="1444">
        <f>COUNTIF($C$12:C2061,"x")</f>
        <v>60</v>
      </c>
      <c r="B2061" s="1471" t="s">
        <v>1145</v>
      </c>
      <c r="C2061" s="966" t="str">
        <f t="shared" si="370"/>
        <v xml:space="preserve"> </v>
      </c>
      <c r="D2061" s="1408"/>
      <c r="E2061" s="976"/>
      <c r="F2061" s="988" t="str">
        <f>VLOOKUP($B2061,DG!A:D,DG!$C$2,)</f>
        <v>Khóa néo dây cỡ dây 70</v>
      </c>
      <c r="G2061" s="976" t="str">
        <f>VLOOKUP($B2061,DG!A:D,DG!$D$2,)</f>
        <v>cái</v>
      </c>
      <c r="H2061" s="1689">
        <f t="shared" si="372"/>
        <v>0</v>
      </c>
      <c r="I2061" s="1689"/>
      <c r="J2061" s="1689"/>
      <c r="K2061" s="1689">
        <f>D2061</f>
        <v>0</v>
      </c>
      <c r="L2061" s="1688">
        <f>IFERROR(HLOOKUP(chitiet!B2061,pp1p!$1:$3,3,0),0)</f>
        <v>0</v>
      </c>
      <c r="M2061" s="1689"/>
      <c r="N2061" s="1689"/>
      <c r="O2061" s="1689"/>
      <c r="P2061" s="1689">
        <f t="shared" si="366"/>
        <v>0</v>
      </c>
      <c r="Q2061" s="985"/>
      <c r="R2061" s="985"/>
      <c r="S2061" s="985"/>
      <c r="T2061" s="1858">
        <f>IFERROR(HLOOKUP(B2061,pp1p!$1:$3,3,0),0)</f>
        <v>0</v>
      </c>
    </row>
    <row r="2062" spans="1:20" ht="22.2" hidden="1" customHeight="1">
      <c r="A2062" s="1444">
        <f>COUNTIF($C$12:C2062,"x")</f>
        <v>60</v>
      </c>
      <c r="B2062" s="1456" t="s">
        <v>992</v>
      </c>
      <c r="C2062" s="966" t="str">
        <f t="shared" si="370"/>
        <v xml:space="preserve"> </v>
      </c>
      <c r="D2062" s="1424">
        <f>pp1p!CC94</f>
        <v>0</v>
      </c>
      <c r="E2062" s="976"/>
      <c r="F2062" s="988" t="str">
        <f>VLOOKUP($B2062,DG!A:D,DG!$C$2,)</f>
        <v>Kẹp ép WR cỡ dây 50mm2</v>
      </c>
      <c r="G2062" s="976" t="str">
        <f>VLOOKUP($B2062,DG!A:D,DG!$D$2,)</f>
        <v>cái</v>
      </c>
      <c r="H2062" s="1689">
        <f t="shared" si="372"/>
        <v>0</v>
      </c>
      <c r="I2062" s="1689"/>
      <c r="J2062" s="1689"/>
      <c r="K2062" s="1689"/>
      <c r="L2062" s="1688">
        <f>IFERROR(HLOOKUP(chitiet!B2062,pp1p!$1:$3,3,0),0)</f>
        <v>0</v>
      </c>
      <c r="M2062" s="1689"/>
      <c r="N2062" s="1689"/>
      <c r="O2062" s="1689"/>
      <c r="P2062" s="1689">
        <f t="shared" si="366"/>
        <v>0</v>
      </c>
      <c r="Q2062" s="985"/>
      <c r="R2062" s="985"/>
      <c r="S2062" s="985"/>
      <c r="T2062" s="1858">
        <f>IFERROR(HLOOKUP(B2062,pp1p!$1:$3,3,0),0)</f>
        <v>0</v>
      </c>
    </row>
    <row r="2063" spans="1:20" ht="22.2" hidden="1" customHeight="1">
      <c r="A2063" s="1444">
        <f>COUNTIF($C$12:C2063,"x")</f>
        <v>60</v>
      </c>
      <c r="B2063" s="1456" t="s">
        <v>35</v>
      </c>
      <c r="C2063" s="966" t="str">
        <f t="shared" si="370"/>
        <v xml:space="preserve"> </v>
      </c>
      <c r="D2063" s="1424">
        <f>pp1p!CD94</f>
        <v>0</v>
      </c>
      <c r="E2063" s="976"/>
      <c r="F2063" s="988" t="str">
        <f>VLOOKUP($B2063,DG!A:D,DG!$C$2,)</f>
        <v>Kẹp ép WR cỡ dây 70mm2</v>
      </c>
      <c r="G2063" s="976" t="str">
        <f>VLOOKUP($B2063,DG!A:D,DG!$D$2,)</f>
        <v>cái</v>
      </c>
      <c r="H2063" s="1689">
        <f t="shared" si="372"/>
        <v>0</v>
      </c>
      <c r="I2063" s="1689"/>
      <c r="J2063" s="1689"/>
      <c r="K2063" s="1689"/>
      <c r="L2063" s="1688">
        <f>IFERROR(HLOOKUP(chitiet!B2063,pp1p!$1:$3,3,0),0)</f>
        <v>0</v>
      </c>
      <c r="M2063" s="1689"/>
      <c r="N2063" s="1689"/>
      <c r="O2063" s="1689"/>
      <c r="P2063" s="1689">
        <f t="shared" si="366"/>
        <v>0</v>
      </c>
      <c r="Q2063" s="985"/>
      <c r="R2063" s="985"/>
      <c r="S2063" s="985"/>
      <c r="T2063" s="1858">
        <f>IFERROR(HLOOKUP(B2063,pp1p!$1:$3,3,0),0)</f>
        <v>0</v>
      </c>
    </row>
    <row r="2064" spans="1:20" ht="22.2" hidden="1" customHeight="1">
      <c r="A2064" s="1444">
        <f>COUNTIF($C$12:C2064,"x")</f>
        <v>60</v>
      </c>
      <c r="B2064" s="1456" t="s">
        <v>36</v>
      </c>
      <c r="C2064" s="966" t="str">
        <f t="shared" si="370"/>
        <v xml:space="preserve"> </v>
      </c>
      <c r="D2064" s="1424">
        <f>pp1p!CE94</f>
        <v>0</v>
      </c>
      <c r="E2064" s="976"/>
      <c r="F2064" s="988" t="str">
        <f>VLOOKUP($B2064,DG!A:D,DG!$C$2,)</f>
        <v>Kẹp ép WR cỡ dây 95mm2</v>
      </c>
      <c r="G2064" s="976" t="str">
        <f>VLOOKUP($B2064,DG!A:D,DG!$D$2,)</f>
        <v>cái</v>
      </c>
      <c r="H2064" s="1689">
        <f t="shared" si="372"/>
        <v>0</v>
      </c>
      <c r="I2064" s="1689"/>
      <c r="J2064" s="1689"/>
      <c r="K2064" s="1689"/>
      <c r="L2064" s="1688">
        <f>IFERROR(HLOOKUP(chitiet!B2064,pp1p!$1:$3,3,0),0)</f>
        <v>0</v>
      </c>
      <c r="M2064" s="1689"/>
      <c r="N2064" s="1689"/>
      <c r="O2064" s="1689"/>
      <c r="P2064" s="1689">
        <f t="shared" si="366"/>
        <v>0</v>
      </c>
      <c r="Q2064" s="985"/>
      <c r="R2064" s="985"/>
      <c r="S2064" s="985"/>
      <c r="T2064" s="1858">
        <f>IFERROR(HLOOKUP(B2064,pp1p!$1:$3,3,0),0)</f>
        <v>0</v>
      </c>
    </row>
    <row r="2065" spans="1:20" ht="22.2" hidden="1" customHeight="1">
      <c r="A2065" s="1444">
        <f>COUNTIF($C$12:C2065,"x")</f>
        <v>60</v>
      </c>
      <c r="B2065" s="1456" t="s">
        <v>13</v>
      </c>
      <c r="C2065" s="966" t="str">
        <f t="shared" si="370"/>
        <v xml:space="preserve"> </v>
      </c>
      <c r="D2065" s="1424">
        <f>pp1p!CF94</f>
        <v>0</v>
      </c>
      <c r="E2065" s="976"/>
      <c r="F2065" s="988" t="str">
        <f>VLOOKUP($B2065,DG!A:D,DG!$C$2,)</f>
        <v>Kẹp ép WR cỡ dây 120mm2</v>
      </c>
      <c r="G2065" s="976" t="str">
        <f>VLOOKUP($B2065,DG!A:D,DG!$D$2,)</f>
        <v>cái</v>
      </c>
      <c r="H2065" s="1689">
        <f t="shared" si="372"/>
        <v>0</v>
      </c>
      <c r="I2065" s="1689"/>
      <c r="J2065" s="1689"/>
      <c r="K2065" s="1689"/>
      <c r="L2065" s="1688">
        <f>IFERROR(HLOOKUP(chitiet!B2065,pp1p!$1:$3,3,0),0)</f>
        <v>0</v>
      </c>
      <c r="M2065" s="1689"/>
      <c r="N2065" s="1689"/>
      <c r="O2065" s="1689"/>
      <c r="P2065" s="1689">
        <f t="shared" si="366"/>
        <v>0</v>
      </c>
      <c r="Q2065" s="985"/>
      <c r="R2065" s="985"/>
      <c r="S2065" s="985"/>
      <c r="T2065" s="1858">
        <f>IFERROR(HLOOKUP(B2065,pp1p!$1:$3,3,0),0)</f>
        <v>0</v>
      </c>
    </row>
    <row r="2066" spans="1:20" ht="22.2" hidden="1" customHeight="1">
      <c r="A2066" s="1444">
        <f>COUNTIF($C$12:C2066,"x")</f>
        <v>60</v>
      </c>
      <c r="B2066" s="1456" t="s">
        <v>142</v>
      </c>
      <c r="C2066" s="966" t="str">
        <f t="shared" si="370"/>
        <v xml:space="preserve"> </v>
      </c>
      <c r="D2066" s="1424">
        <f>pp1p!CG94</f>
        <v>0</v>
      </c>
      <c r="E2066" s="976"/>
      <c r="F2066" s="988" t="str">
        <f>VLOOKUP($B2066,DG!A:D,DG!$C$2,)</f>
        <v>Kẹp ép WR cỡ dây 150mm2</v>
      </c>
      <c r="G2066" s="976" t="str">
        <f>VLOOKUP($B2066,DG!A:D,DG!$D$2,)</f>
        <v>cái</v>
      </c>
      <c r="H2066" s="1689">
        <f t="shared" si="372"/>
        <v>0</v>
      </c>
      <c r="I2066" s="1689"/>
      <c r="J2066" s="1689"/>
      <c r="K2066" s="1689"/>
      <c r="L2066" s="1688">
        <f>IFERROR(HLOOKUP(chitiet!B2066,pp1p!$1:$3,3,0),0)</f>
        <v>0</v>
      </c>
      <c r="M2066" s="1689"/>
      <c r="N2066" s="1689"/>
      <c r="O2066" s="1689"/>
      <c r="P2066" s="1689">
        <f t="shared" si="366"/>
        <v>0</v>
      </c>
      <c r="Q2066" s="985"/>
      <c r="R2066" s="985"/>
      <c r="S2066" s="985"/>
      <c r="T2066" s="1858">
        <f>IFERROR(HLOOKUP(B2066,pp1p!$1:$3,3,0),0)</f>
        <v>0</v>
      </c>
    </row>
    <row r="2067" spans="1:20" ht="22.2" hidden="1" customHeight="1">
      <c r="A2067" s="1444">
        <f>COUNTIF($C$12:C2067,"x")</f>
        <v>60</v>
      </c>
      <c r="B2067" s="1456" t="s">
        <v>14</v>
      </c>
      <c r="C2067" s="966" t="str">
        <f t="shared" si="370"/>
        <v xml:space="preserve"> </v>
      </c>
      <c r="D2067" s="1424">
        <f>pp1p!CH94</f>
        <v>0</v>
      </c>
      <c r="E2067" s="976"/>
      <c r="F2067" s="988" t="str">
        <f>VLOOKUP($B2067,DG!A:D,DG!$C$2,)</f>
        <v>Kẹp ép WR cỡ dây 185mm2</v>
      </c>
      <c r="G2067" s="976" t="str">
        <f>VLOOKUP($B2067,DG!A:D,DG!$D$2,)</f>
        <v>cái</v>
      </c>
      <c r="H2067" s="1689">
        <f t="shared" si="372"/>
        <v>0</v>
      </c>
      <c r="I2067" s="1689"/>
      <c r="J2067" s="1689"/>
      <c r="K2067" s="1689"/>
      <c r="L2067" s="1688">
        <f>IFERROR(HLOOKUP(chitiet!B2067,pp1p!$1:$3,3,0),0)</f>
        <v>0</v>
      </c>
      <c r="M2067" s="1689"/>
      <c r="N2067" s="1689"/>
      <c r="O2067" s="1689"/>
      <c r="P2067" s="1689">
        <f t="shared" si="366"/>
        <v>0</v>
      </c>
      <c r="Q2067" s="985"/>
      <c r="R2067" s="985"/>
      <c r="S2067" s="985"/>
      <c r="T2067" s="1858">
        <f>IFERROR(HLOOKUP(B2067,pp1p!$1:$3,3,0),0)</f>
        <v>0</v>
      </c>
    </row>
    <row r="2068" spans="1:20" ht="22.2" hidden="1" customHeight="1">
      <c r="A2068" s="1444">
        <f>COUNTIF($C$12:C2068,"x")</f>
        <v>60</v>
      </c>
      <c r="B2068" s="1456" t="s">
        <v>15</v>
      </c>
      <c r="C2068" s="966" t="str">
        <f t="shared" si="370"/>
        <v xml:space="preserve"> </v>
      </c>
      <c r="D2068" s="1424">
        <f>pp1p!CI94</f>
        <v>0</v>
      </c>
      <c r="E2068" s="976"/>
      <c r="F2068" s="988" t="str">
        <f>VLOOKUP($B2068,DG!A:D,DG!$C$2,)</f>
        <v>Kẹp ép WR cỡ dây 240mm2</v>
      </c>
      <c r="G2068" s="976" t="str">
        <f>VLOOKUP($B2068,DG!A:D,DG!$D$2,)</f>
        <v>cái</v>
      </c>
      <c r="H2068" s="1689">
        <f t="shared" si="372"/>
        <v>0</v>
      </c>
      <c r="I2068" s="1689"/>
      <c r="J2068" s="1689"/>
      <c r="K2068" s="1689"/>
      <c r="L2068" s="1688">
        <f>IFERROR(HLOOKUP(chitiet!B2068,pp1p!$1:$3,3,0),0)</f>
        <v>0</v>
      </c>
      <c r="M2068" s="1689"/>
      <c r="N2068" s="1689"/>
      <c r="O2068" s="1689"/>
      <c r="P2068" s="1689">
        <f t="shared" si="366"/>
        <v>0</v>
      </c>
      <c r="Q2068" s="985"/>
      <c r="R2068" s="985"/>
      <c r="S2068" s="985"/>
      <c r="T2068" s="1858">
        <f>IFERROR(HLOOKUP(B2068,pp1p!$1:$3,3,0),0)</f>
        <v>0</v>
      </c>
    </row>
    <row r="2069" spans="1:20" ht="22.2" hidden="1" customHeight="1">
      <c r="A2069" s="1444">
        <f>COUNTIF($C$12:C2069,"x")</f>
        <v>60</v>
      </c>
      <c r="B2069" s="1456" t="s">
        <v>1887</v>
      </c>
      <c r="C2069" s="966" t="str">
        <f t="shared" si="370"/>
        <v xml:space="preserve"> </v>
      </c>
      <c r="D2069" s="1424">
        <f>pp1p!CJ94</f>
        <v>0</v>
      </c>
      <c r="E2069" s="976" t="str">
        <f>VLOOKUP($B2069,DG!A:D,DG!$B$2,)</f>
        <v>03.4003</v>
      </c>
      <c r="F2069" s="988" t="str">
        <f>VLOOKUP($B2069,DG!A:D,DG!$C$2,)</f>
        <v>Đầu cosse ép Cu-Al 70mm2</v>
      </c>
      <c r="G2069" s="976" t="str">
        <f>VLOOKUP($B2069,DG!A:D,DG!$D$2,)</f>
        <v>cái</v>
      </c>
      <c r="H2069" s="1689">
        <f t="shared" si="372"/>
        <v>0</v>
      </c>
      <c r="I2069" s="1689"/>
      <c r="J2069" s="1689"/>
      <c r="K2069" s="1689"/>
      <c r="L2069" s="1688">
        <f>IFERROR(HLOOKUP(chitiet!B2069,pp1p!$1:$3,3,0),0)</f>
        <v>0</v>
      </c>
      <c r="M2069" s="1689"/>
      <c r="N2069" s="1689"/>
      <c r="O2069" s="1689"/>
      <c r="P2069" s="1689">
        <f t="shared" si="366"/>
        <v>0</v>
      </c>
      <c r="Q2069" s="985"/>
      <c r="R2069" s="985"/>
      <c r="S2069" s="985"/>
      <c r="T2069" s="1858">
        <f>IFERROR(HLOOKUP(B2069,pp1p!$1:$3,3,0),0)</f>
        <v>0</v>
      </c>
    </row>
    <row r="2070" spans="1:20" ht="22.2" hidden="1" customHeight="1">
      <c r="A2070" s="1444">
        <f>COUNTIF($C$12:C2070,"x")</f>
        <v>60</v>
      </c>
      <c r="B2070" s="1456" t="s">
        <v>1888</v>
      </c>
      <c r="C2070" s="966" t="str">
        <f t="shared" si="370"/>
        <v xml:space="preserve"> </v>
      </c>
      <c r="D2070" s="1424">
        <f>pp1p!CK94</f>
        <v>0</v>
      </c>
      <c r="E2070" s="976" t="str">
        <f>VLOOKUP($B2070,DG!A:D,DG!$B$2,)</f>
        <v>03.4004</v>
      </c>
      <c r="F2070" s="988" t="str">
        <f>VLOOKUP($B2070,DG!A:D,DG!$C$2,)</f>
        <v>Đầu cosse ép Cu-Al 95mm2</v>
      </c>
      <c r="G2070" s="976" t="str">
        <f>VLOOKUP($B2070,DG!A:D,DG!$D$2,)</f>
        <v>cái</v>
      </c>
      <c r="H2070" s="1689">
        <f t="shared" si="372"/>
        <v>0</v>
      </c>
      <c r="I2070" s="1689"/>
      <c r="J2070" s="1689"/>
      <c r="K2070" s="1689"/>
      <c r="L2070" s="1688">
        <f>IFERROR(HLOOKUP(chitiet!B2070,pp1p!$1:$3,3,0),0)</f>
        <v>0</v>
      </c>
      <c r="M2070" s="1689"/>
      <c r="N2070" s="1689"/>
      <c r="O2070" s="1689"/>
      <c r="P2070" s="1689">
        <f t="shared" si="366"/>
        <v>0</v>
      </c>
      <c r="Q2070" s="985"/>
      <c r="R2070" s="985"/>
      <c r="S2070" s="985"/>
      <c r="T2070" s="1858">
        <f>IFERROR(HLOOKUP(B2070,pp1p!$1:$3,3,0),0)</f>
        <v>0</v>
      </c>
    </row>
    <row r="2071" spans="1:20" ht="22.2" hidden="1" customHeight="1">
      <c r="A2071" s="1444">
        <f>COUNTIF($C$12:C2071,"x")</f>
        <v>60</v>
      </c>
      <c r="B2071" s="1456" t="s">
        <v>1889</v>
      </c>
      <c r="C2071" s="966" t="str">
        <f t="shared" si="370"/>
        <v xml:space="preserve"> </v>
      </c>
      <c r="D2071" s="1424">
        <f>pp1p!CL94</f>
        <v>0</v>
      </c>
      <c r="E2071" s="976" t="str">
        <f>VLOOKUP($B2071,DG!A:D,DG!$B$2,)</f>
        <v>03.4005</v>
      </c>
      <c r="F2071" s="988" t="str">
        <f>VLOOKUP($B2071,DG!A:D,DG!$C$2,)</f>
        <v>Đầu cosse ép Cu-Al 120mm2</v>
      </c>
      <c r="G2071" s="976" t="str">
        <f>VLOOKUP($B2071,DG!A:D,DG!$D$2,)</f>
        <v>cái</v>
      </c>
      <c r="H2071" s="1689">
        <f t="shared" si="372"/>
        <v>0</v>
      </c>
      <c r="I2071" s="1689"/>
      <c r="J2071" s="1689"/>
      <c r="K2071" s="1689"/>
      <c r="L2071" s="1688">
        <f>IFERROR(HLOOKUP(chitiet!B2071,pp1p!$1:$3,3,0),0)</f>
        <v>0</v>
      </c>
      <c r="M2071" s="1689"/>
      <c r="N2071" s="1689"/>
      <c r="O2071" s="1689"/>
      <c r="P2071" s="1689">
        <f t="shared" ref="P2071:P2134" si="373">H2071+Q2071-R2071</f>
        <v>0</v>
      </c>
      <c r="Q2071" s="985"/>
      <c r="R2071" s="985"/>
      <c r="S2071" s="985"/>
      <c r="T2071" s="1858">
        <f>IFERROR(HLOOKUP(B2071,pp1p!$1:$3,3,0),0)</f>
        <v>0</v>
      </c>
    </row>
    <row r="2072" spans="1:20" ht="22.2" hidden="1" customHeight="1">
      <c r="A2072" s="1444">
        <f>COUNTIF($C$12:C2072,"x")</f>
        <v>60</v>
      </c>
      <c r="B2072" s="1456" t="s">
        <v>1019</v>
      </c>
      <c r="C2072" s="966" t="str">
        <f t="shared" si="370"/>
        <v xml:space="preserve"> </v>
      </c>
      <c r="D2072" s="1424">
        <f>pp1p!CM94</f>
        <v>0</v>
      </c>
      <c r="E2072" s="976" t="str">
        <f>VLOOKUP($B2072,DG!A:D,DG!$B$2,)</f>
        <v>03.4006</v>
      </c>
      <c r="F2072" s="988" t="str">
        <f>VLOOKUP($B2072,DG!A:D,DG!$C$2,)</f>
        <v>Đầu cosse ép Cu-Al 150mm2</v>
      </c>
      <c r="G2072" s="976" t="str">
        <f>VLOOKUP($B2072,DG!A:D,DG!$D$2,)</f>
        <v>cái</v>
      </c>
      <c r="H2072" s="1689">
        <f t="shared" si="372"/>
        <v>0</v>
      </c>
      <c r="I2072" s="1689"/>
      <c r="J2072" s="1689"/>
      <c r="K2072" s="1689"/>
      <c r="L2072" s="1688">
        <f>IFERROR(HLOOKUP(chitiet!B2072,pp1p!$1:$3,3,0),0)</f>
        <v>0</v>
      </c>
      <c r="M2072" s="1689"/>
      <c r="N2072" s="1689"/>
      <c r="O2072" s="1689"/>
      <c r="P2072" s="1689">
        <f t="shared" si="373"/>
        <v>0</v>
      </c>
      <c r="Q2072" s="985"/>
      <c r="R2072" s="985"/>
      <c r="S2072" s="985"/>
      <c r="T2072" s="1858">
        <f>IFERROR(HLOOKUP(B2072,pp1p!$1:$3,3,0),0)</f>
        <v>0</v>
      </c>
    </row>
    <row r="2073" spans="1:20" ht="22.2" hidden="1" customHeight="1">
      <c r="A2073" s="1444">
        <f>COUNTIF($C$12:C2073,"x")</f>
        <v>60</v>
      </c>
      <c r="B2073" s="1456" t="s">
        <v>1020</v>
      </c>
      <c r="C2073" s="966" t="str">
        <f t="shared" si="370"/>
        <v xml:space="preserve"> </v>
      </c>
      <c r="D2073" s="1424">
        <f>pp1p!CN94</f>
        <v>0</v>
      </c>
      <c r="E2073" s="976" t="str">
        <f>VLOOKUP($B2073,DG!A:D,DG!$B$2,)</f>
        <v>03.4007</v>
      </c>
      <c r="F2073" s="988" t="str">
        <f>VLOOKUP($B2073,DG!A:D,DG!$C$2,)</f>
        <v>Đầu cosse ép Cu-Al 185mm2</v>
      </c>
      <c r="G2073" s="976" t="str">
        <f>VLOOKUP($B2073,DG!A:D,DG!$D$2,)</f>
        <v>cái</v>
      </c>
      <c r="H2073" s="1689">
        <f t="shared" si="372"/>
        <v>0</v>
      </c>
      <c r="I2073" s="1689"/>
      <c r="J2073" s="1689"/>
      <c r="K2073" s="1689"/>
      <c r="L2073" s="1688">
        <f>IFERROR(HLOOKUP(chitiet!B2073,pp1p!$1:$3,3,0),0)</f>
        <v>0</v>
      </c>
      <c r="M2073" s="1689"/>
      <c r="N2073" s="1689"/>
      <c r="O2073" s="1689"/>
      <c r="P2073" s="1689">
        <f t="shared" si="373"/>
        <v>0</v>
      </c>
      <c r="Q2073" s="985"/>
      <c r="R2073" s="985"/>
      <c r="S2073" s="985"/>
      <c r="T2073" s="1858">
        <f>IFERROR(HLOOKUP(B2073,pp1p!$1:$3,3,0),0)</f>
        <v>0</v>
      </c>
    </row>
    <row r="2074" spans="1:20" ht="22.2" hidden="1" customHeight="1">
      <c r="A2074" s="1444">
        <f>COUNTIF($C$12:C2074,"x")</f>
        <v>60</v>
      </c>
      <c r="B2074" s="1456" t="s">
        <v>1831</v>
      </c>
      <c r="C2074" s="966" t="str">
        <f t="shared" si="370"/>
        <v xml:space="preserve"> </v>
      </c>
      <c r="D2074" s="1424">
        <f>pp1p!CO94</f>
        <v>0</v>
      </c>
      <c r="E2074" s="976" t="str">
        <f>VLOOKUP($B2074,DG!A:D,DG!$B$2,)</f>
        <v>03.4008</v>
      </c>
      <c r="F2074" s="988" t="str">
        <f>VLOOKUP($B2074,DG!A:D,DG!$C$2,)</f>
        <v>Đầu cosse ép Cu-Al 240mm2</v>
      </c>
      <c r="G2074" s="976" t="str">
        <f>VLOOKUP($B2074,DG!A:D,DG!$D$2,)</f>
        <v>cái</v>
      </c>
      <c r="H2074" s="1689">
        <f t="shared" si="372"/>
        <v>0</v>
      </c>
      <c r="I2074" s="1689"/>
      <c r="J2074" s="1689"/>
      <c r="K2074" s="1689"/>
      <c r="L2074" s="1688">
        <f>IFERROR(HLOOKUP(chitiet!B2074,pp1p!$1:$3,3,0),0)</f>
        <v>0</v>
      </c>
      <c r="M2074" s="1689"/>
      <c r="N2074" s="1689"/>
      <c r="O2074" s="1689"/>
      <c r="P2074" s="1689">
        <f t="shared" si="373"/>
        <v>0</v>
      </c>
      <c r="Q2074" s="985"/>
      <c r="R2074" s="985"/>
      <c r="S2074" s="985"/>
      <c r="T2074" s="1858">
        <f>IFERROR(HLOOKUP(B2074,pp1p!$1:$3,3,0),0)</f>
        <v>0</v>
      </c>
    </row>
    <row r="2075" spans="1:20" ht="22.2" hidden="1" customHeight="1">
      <c r="A2075" s="1444">
        <f>COUNTIF($C$12:C2075,"x")</f>
        <v>60</v>
      </c>
      <c r="B2075" s="1456" t="s">
        <v>437</v>
      </c>
      <c r="C2075" s="966" t="str">
        <f t="shared" si="370"/>
        <v xml:space="preserve"> </v>
      </c>
      <c r="D2075" s="1424">
        <f>SUM(D2069:D2074)/2</f>
        <v>0</v>
      </c>
      <c r="E2075" s="976">
        <f>VLOOKUP($B2075,DG!A:D,DG!$B$2,)</f>
        <v>0</v>
      </c>
      <c r="F2075" s="988" t="str">
        <f>VLOOKUP($B2075,DG!A:D,DG!$C$2,)</f>
        <v>Boulon 12x30+ 2 long đền vuông D14-50x50x3/Zn</v>
      </c>
      <c r="G2075" s="976" t="str">
        <f>VLOOKUP($B2075,DG!A:D,DG!$D$2,)</f>
        <v>bộ</v>
      </c>
      <c r="H2075" s="1689">
        <f t="shared" si="372"/>
        <v>0</v>
      </c>
      <c r="I2075" s="1689"/>
      <c r="J2075" s="1689"/>
      <c r="K2075" s="1689"/>
      <c r="L2075" s="1688">
        <f>IFERROR(HLOOKUP(chitiet!B2075,pp1p!$1:$3,3,0),0)</f>
        <v>0</v>
      </c>
      <c r="M2075" s="1689"/>
      <c r="N2075" s="1689"/>
      <c r="O2075" s="1689"/>
      <c r="P2075" s="1689">
        <f t="shared" si="373"/>
        <v>0</v>
      </c>
      <c r="Q2075" s="985"/>
      <c r="R2075" s="985"/>
      <c r="S2075" s="985"/>
      <c r="T2075" s="1858">
        <f>IFERROR(HLOOKUP(B2075,pp1p!$1:$3,3,0),0)</f>
        <v>0</v>
      </c>
    </row>
    <row r="2076" spans="1:20" ht="22.2" hidden="1" customHeight="1">
      <c r="A2076" s="1444">
        <f>COUNTIF($C$12:C2076,"x")</f>
        <v>60</v>
      </c>
      <c r="B2076" s="1456" t="s">
        <v>1479</v>
      </c>
      <c r="C2076" s="966" t="str">
        <f t="shared" si="370"/>
        <v xml:space="preserve"> </v>
      </c>
      <c r="D2076" s="1424">
        <f>T2076</f>
        <v>0</v>
      </c>
      <c r="E2076" s="976" t="str">
        <f>VLOOKUP($B2076,DG!A:D,DG!$B$2,)</f>
        <v>04.3007</v>
      </c>
      <c r="F2076" s="988" t="str">
        <f>VLOOKUP($B2076,DG!A:D,DG!$C$2,)</f>
        <v>Kẹp quai 2/0</v>
      </c>
      <c r="G2076" s="976" t="str">
        <f>VLOOKUP($B2076,DG!A:D,DG!$D$2,)</f>
        <v>cái</v>
      </c>
      <c r="H2076" s="1689">
        <f t="shared" si="372"/>
        <v>0</v>
      </c>
      <c r="I2076" s="1689"/>
      <c r="J2076" s="1689"/>
      <c r="K2076" s="1689"/>
      <c r="L2076" s="1688">
        <f>IFERROR(HLOOKUP(chitiet!B2076,pp1p!$1:$3,3,0),0)</f>
        <v>0</v>
      </c>
      <c r="M2076" s="1689"/>
      <c r="N2076" s="1689"/>
      <c r="O2076" s="1689"/>
      <c r="P2076" s="1689">
        <f t="shared" si="373"/>
        <v>0</v>
      </c>
      <c r="Q2076" s="985"/>
      <c r="R2076" s="985"/>
      <c r="S2076" s="985"/>
      <c r="T2076" s="1858">
        <f>IFERROR(HLOOKUP(B2076,pp1p!$1:$3,3,0),0)</f>
        <v>0</v>
      </c>
    </row>
    <row r="2077" spans="1:20" ht="22.2" hidden="1" customHeight="1">
      <c r="A2077" s="1444">
        <f>COUNTIF($C$12:C2077,"x")</f>
        <v>60</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72"/>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2" hidden="1" customHeight="1">
      <c r="A2078" s="1444">
        <f>COUNTIF($C$12:C2078,"x")</f>
        <v>60</v>
      </c>
      <c r="B2078" s="1456" t="s">
        <v>4537</v>
      </c>
      <c r="C2078" s="966" t="str">
        <f t="shared" si="370"/>
        <v xml:space="preserve"> </v>
      </c>
      <c r="D2078" s="1411">
        <f>D2076</f>
        <v>0</v>
      </c>
      <c r="E2078" s="976">
        <f>VLOOKUP($B2078,DG!A:D,DG!$B$2,)</f>
        <v>0</v>
      </c>
      <c r="F2078" s="988" t="str">
        <f>VLOOKUP($B2078,DG!A:D,DG!$C$2,)</f>
        <v>Chụp cách điện kẹp quai</v>
      </c>
      <c r="G2078" s="976" t="str">
        <f>VLOOKUP($B2078,DG!A:D,DG!$D$2,)</f>
        <v>cái</v>
      </c>
      <c r="H2078" s="1689">
        <f t="shared" si="372"/>
        <v>0</v>
      </c>
      <c r="I2078" s="1689"/>
      <c r="J2078" s="1689"/>
      <c r="K2078" s="1689"/>
      <c r="L2078" s="1688">
        <f>IFERROR(HLOOKUP(chitiet!B2078,pp1p!$1:$3,3,0),0)</f>
        <v>0</v>
      </c>
      <c r="M2078" s="1689"/>
      <c r="N2078" s="1689"/>
      <c r="O2078" s="1689"/>
      <c r="P2078" s="1689">
        <f t="shared" si="373"/>
        <v>0</v>
      </c>
      <c r="Q2078" s="985"/>
      <c r="R2078" s="985"/>
      <c r="S2078" s="985"/>
      <c r="T2078" s="1858">
        <f>IFERROR(HLOOKUP(B2078,pp1p!$1:$3,3,0),0)</f>
        <v>0</v>
      </c>
    </row>
    <row r="2079" spans="1:20" ht="22.2" hidden="1" customHeight="1">
      <c r="A2079" s="1444">
        <f>COUNTIF($C$12:C2079,"x")</f>
        <v>60</v>
      </c>
      <c r="B2079" s="1457" t="s">
        <v>697</v>
      </c>
      <c r="C2079" s="966" t="str">
        <f t="shared" si="370"/>
        <v xml:space="preserve"> </v>
      </c>
      <c r="D2079" s="1411">
        <f>pp1p!CR94*3</f>
        <v>0</v>
      </c>
      <c r="E2079" s="976"/>
      <c r="F2079" s="988" t="str">
        <f>VLOOKUP($B2079,DG!A:D,DG!$C$2,)</f>
        <v>Cáp 24KV C/XLPE/PVC 25mm2</v>
      </c>
      <c r="G2079" s="976" t="str">
        <f>VLOOKUP($B2079,DG!A:D,DG!$D$2,)</f>
        <v>mét</v>
      </c>
      <c r="H2079" s="1689">
        <f t="shared" si="372"/>
        <v>0</v>
      </c>
      <c r="I2079" s="1689"/>
      <c r="J2079" s="1689"/>
      <c r="K2079" s="1689"/>
      <c r="L2079" s="1688">
        <f>IFERROR(HLOOKUP(chitiet!B2079,pp1p!$1:$3,3,0),0)</f>
        <v>0</v>
      </c>
      <c r="M2079" s="1689"/>
      <c r="N2079" s="1689"/>
      <c r="O2079" s="1689"/>
      <c r="P2079" s="1689">
        <f t="shared" si="373"/>
        <v>0</v>
      </c>
      <c r="Q2079" s="991"/>
      <c r="R2079" s="991"/>
      <c r="S2079" s="991"/>
      <c r="T2079" s="1858">
        <f>IFERROR(HLOOKUP(B2079,pp1p!$1:$3,3,0),0)</f>
        <v>0</v>
      </c>
    </row>
    <row r="2080" spans="1:20" ht="22.2" hidden="1" customHeight="1">
      <c r="A2080" s="1444">
        <f>COUNTIF($C$12:C2080,"x")</f>
        <v>60</v>
      </c>
      <c r="B2080" s="1456" t="s">
        <v>1023</v>
      </c>
      <c r="C2080" s="966" t="str">
        <f t="shared" si="370"/>
        <v xml:space="preserve"> </v>
      </c>
      <c r="D2080" s="1424">
        <f>pp1p!AV94</f>
        <v>0</v>
      </c>
      <c r="E2080" s="976"/>
      <c r="F2080" s="988" t="str">
        <f>VLOOKUP($B2080,DG!A:D,DG!$C$2,)</f>
        <v>Cáp thép 3/8"</v>
      </c>
      <c r="G2080" s="976" t="str">
        <f>VLOOKUP($B2080,DG!A:D,DG!$D$2,)</f>
        <v>kg</v>
      </c>
      <c r="H2080" s="1689">
        <f t="shared" si="372"/>
        <v>0</v>
      </c>
      <c r="I2080" s="1689"/>
      <c r="J2080" s="1689"/>
      <c r="K2080" s="1689"/>
      <c r="L2080" s="1688">
        <f>IFERROR(HLOOKUP(chitiet!B2080,pp1p!$1:$3,3,0),0)</f>
        <v>0</v>
      </c>
      <c r="M2080" s="1689"/>
      <c r="N2080" s="1689"/>
      <c r="O2080" s="1689"/>
      <c r="P2080" s="1689">
        <f t="shared" si="373"/>
        <v>0</v>
      </c>
      <c r="Q2080" s="985"/>
      <c r="R2080" s="985"/>
      <c r="S2080" s="985"/>
      <c r="T2080" s="1858">
        <f>IFERROR(HLOOKUP(B2080,pp1p!$1:$3,3,0),0)</f>
        <v>0</v>
      </c>
    </row>
    <row r="2081" spans="1:20" ht="22.2" hidden="1" customHeight="1">
      <c r="A2081" s="1444">
        <f>COUNTIF($C$12:C2081,"x")</f>
        <v>60</v>
      </c>
      <c r="B2081" s="1456" t="s">
        <v>378</v>
      </c>
      <c r="C2081" s="966" t="str">
        <f t="shared" si="370"/>
        <v xml:space="preserve"> </v>
      </c>
      <c r="D2081" s="1424">
        <f>pp1p!CW94</f>
        <v>0</v>
      </c>
      <c r="E2081" s="976"/>
      <c r="F2081" s="988" t="str">
        <f>VLOOKUP($B2081,DG!A:D,DG!$C$2,)</f>
        <v>Biển báo độ cao</v>
      </c>
      <c r="G2081" s="976" t="str">
        <f>VLOOKUP($B2081,DG!A:D,DG!$D$2,)</f>
        <v>cái</v>
      </c>
      <c r="H2081" s="1689">
        <f t="shared" si="372"/>
        <v>0</v>
      </c>
      <c r="I2081" s="1689"/>
      <c r="J2081" s="1689"/>
      <c r="K2081" s="1689"/>
      <c r="L2081" s="1688">
        <f>IFERROR(HLOOKUP(chitiet!B2081,pp1p!$1:$3,3,0),0)</f>
        <v>0</v>
      </c>
      <c r="M2081" s="1689"/>
      <c r="N2081" s="1689"/>
      <c r="O2081" s="1689"/>
      <c r="P2081" s="1689">
        <f t="shared" si="373"/>
        <v>0</v>
      </c>
      <c r="Q2081" s="985"/>
      <c r="R2081" s="985"/>
      <c r="S2081" s="985"/>
      <c r="T2081" s="1858">
        <f>IFERROR(HLOOKUP(B2081,pp1p!$1:$3,3,0),0)</f>
        <v>0</v>
      </c>
    </row>
    <row r="2082" spans="1:20" ht="22.2" hidden="1" customHeight="1">
      <c r="A2082" s="1444">
        <f>COUNTIF($C$12:C2082,"x")</f>
        <v>60</v>
      </c>
      <c r="B2082" s="1456" t="s">
        <v>1487</v>
      </c>
      <c r="C2082" s="966" t="str">
        <f t="shared" si="370"/>
        <v xml:space="preserve"> </v>
      </c>
      <c r="D2082" s="1411">
        <f>ROUND((D2012/0.195/0.198)/1500,0)</f>
        <v>0</v>
      </c>
      <c r="E2082" s="976"/>
      <c r="F2082" s="988" t="str">
        <f>VLOOKUP($B2082,DG!A:D,DG!$C$2,)</f>
        <v>Ống nối dây cỡ 50mm2</v>
      </c>
      <c r="G2082" s="976" t="str">
        <f>VLOOKUP($B2082,DG!A:D,DG!$D$2,)</f>
        <v>cái</v>
      </c>
      <c r="H2082" s="1689">
        <f t="shared" si="372"/>
        <v>0</v>
      </c>
      <c r="I2082" s="1689"/>
      <c r="J2082" s="1689"/>
      <c r="K2082" s="1689"/>
      <c r="L2082" s="1688">
        <f>IFERROR(HLOOKUP(chitiet!B2082,pp1p!$1:$3,3,0),0)</f>
        <v>0</v>
      </c>
      <c r="M2082" s="1689"/>
      <c r="N2082" s="1689"/>
      <c r="O2082" s="1689"/>
      <c r="P2082" s="1689">
        <f t="shared" si="373"/>
        <v>0</v>
      </c>
      <c r="Q2082" s="985"/>
      <c r="R2082" s="985"/>
      <c r="S2082" s="985"/>
      <c r="T2082" s="1858">
        <f>IFERROR(HLOOKUP(B2082,pp1p!$1:$3,3,0),0)</f>
        <v>0</v>
      </c>
    </row>
    <row r="2083" spans="1:20" ht="22.2" hidden="1" customHeight="1">
      <c r="A2083" s="1444">
        <f>COUNTIF($C$12:C2083,"x")</f>
        <v>60</v>
      </c>
      <c r="B2083" s="1456" t="s">
        <v>1488</v>
      </c>
      <c r="C2083" s="966" t="str">
        <f t="shared" si="370"/>
        <v xml:space="preserve"> </v>
      </c>
      <c r="D2083" s="1411">
        <f>ROUND((D2011/0.276/(0.276+0.0045)+D2013)/1400,0)</f>
        <v>0</v>
      </c>
      <c r="E2083" s="976"/>
      <c r="F2083" s="988" t="str">
        <f>VLOOKUP($B2083,DG!A:D,DG!$C$2,)</f>
        <v>Ống nối dây cỡ 70mm2</v>
      </c>
      <c r="G2083" s="976" t="str">
        <f>VLOOKUP($B2083,DG!A:D,DG!$D$2,)</f>
        <v>cái</v>
      </c>
      <c r="H2083" s="1689">
        <f t="shared" si="372"/>
        <v>0</v>
      </c>
      <c r="I2083" s="1689"/>
      <c r="J2083" s="1689"/>
      <c r="K2083" s="1689"/>
      <c r="L2083" s="1688">
        <f>IFERROR(HLOOKUP(chitiet!B2083,pp1p!$1:$3,3,0),0)</f>
        <v>0</v>
      </c>
      <c r="M2083" s="1689"/>
      <c r="N2083" s="1689"/>
      <c r="O2083" s="1689"/>
      <c r="P2083" s="1689">
        <f t="shared" si="373"/>
        <v>0</v>
      </c>
      <c r="Q2083" s="985"/>
      <c r="R2083" s="985"/>
      <c r="S2083" s="985"/>
      <c r="T2083" s="1858">
        <f>IFERROR(HLOOKUP(B2083,pp1p!$1:$3,3,0),0)</f>
        <v>0</v>
      </c>
    </row>
    <row r="2084" spans="1:20" ht="22.2" hidden="1" customHeight="1">
      <c r="A2084" s="1444">
        <f>COUNTIF($C$12:C2084,"x")</f>
        <v>60</v>
      </c>
      <c r="B2084" s="1456" t="s">
        <v>229</v>
      </c>
      <c r="C2084" s="966" t="str">
        <f t="shared" si="370"/>
        <v xml:space="preserve"> </v>
      </c>
      <c r="D2084" s="1421">
        <f>SUM(D2089:D2090)*5/1.4</f>
        <v>0</v>
      </c>
      <c r="E2084" s="976"/>
      <c r="F2084" s="988" t="str">
        <f>VLOOKUP($B2084,DG!A:D,DG!$C$2,)</f>
        <v xml:space="preserve">Dây nhôm buộc </v>
      </c>
      <c r="G2084" s="976" t="str">
        <f>VLOOKUP($B2084,DG!A:D,DG!$D$2,)</f>
        <v>kg</v>
      </c>
      <c r="H2084" s="1695">
        <f t="shared" si="372"/>
        <v>0</v>
      </c>
      <c r="I2084" s="1689"/>
      <c r="J2084" s="1689"/>
      <c r="K2084" s="1689"/>
      <c r="L2084" s="1688">
        <f>IFERROR(HLOOKUP(chitiet!B2084,pp1p!$1:$3,3,0),0)</f>
        <v>0</v>
      </c>
      <c r="M2084" s="1689"/>
      <c r="N2084" s="1689"/>
      <c r="O2084" s="1689"/>
      <c r="P2084" s="1695">
        <f t="shared" si="373"/>
        <v>0</v>
      </c>
      <c r="Q2084" s="985"/>
      <c r="R2084" s="985"/>
      <c r="S2084" s="985"/>
      <c r="T2084" s="1858">
        <f>IFERROR(HLOOKUP(B2084,pp1p!$1:$3,3,0),0)</f>
        <v>0</v>
      </c>
    </row>
    <row r="2085" spans="1:20" ht="22.2" hidden="1" customHeight="1">
      <c r="A2085" s="1444">
        <f>COUNTIF($C$12:C2085,"x")</f>
        <v>60</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2" hidden="1" customHeight="1">
      <c r="A2086" s="1444">
        <f>COUNTIF($C$12:C2086,"x")</f>
        <v>60</v>
      </c>
      <c r="B2086" s="1456" t="s">
        <v>4726</v>
      </c>
      <c r="C2086" s="966" t="str">
        <f t="shared" si="370"/>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3"/>
        <v>0</v>
      </c>
      <c r="Q2086" s="985"/>
      <c r="R2086" s="985"/>
      <c r="S2086" s="985"/>
      <c r="T2086" s="1858">
        <f>IFERROR(HLOOKUP(B2086,pp1p!$1:$3,3,0),0)</f>
        <v>0</v>
      </c>
    </row>
    <row r="2087" spans="1:20" ht="22.2" hidden="1" customHeight="1">
      <c r="A2087" s="1444">
        <f>COUNTIF($C$12:C2087,"x")</f>
        <v>60</v>
      </c>
      <c r="B2087" s="1456" t="s">
        <v>1570</v>
      </c>
      <c r="C2087" s="966" t="str">
        <f t="shared" si="370"/>
        <v xml:space="preserve"> </v>
      </c>
      <c r="D2087" s="1411"/>
      <c r="E2087" s="976"/>
      <c r="F2087" s="988" t="str">
        <f>VLOOKUP($B2087,DG!A:D,DG!$C$2,)</f>
        <v>Biển số - Bảng nguy hiểm</v>
      </c>
      <c r="G2087" s="976" t="str">
        <f>VLOOKUP($B2087,DG!A:D,DG!$D$2,)</f>
        <v>cái</v>
      </c>
      <c r="H2087" s="1689">
        <f t="shared" si="372"/>
        <v>0</v>
      </c>
      <c r="I2087" s="1689"/>
      <c r="J2087" s="1689"/>
      <c r="K2087" s="1689"/>
      <c r="L2087" s="1688">
        <f>IFERROR(HLOOKUP(chitiet!B2087,pp1p!$1:$3,3,0),0)</f>
        <v>0</v>
      </c>
      <c r="M2087" s="1689"/>
      <c r="N2087" s="1689"/>
      <c r="O2087" s="1689"/>
      <c r="P2087" s="1689">
        <f t="shared" si="373"/>
        <v>0</v>
      </c>
      <c r="Q2087" s="985"/>
      <c r="R2087" s="985"/>
      <c r="S2087" s="985"/>
      <c r="T2087" s="1858">
        <f>IFERROR(HLOOKUP(B2087,pp1p!$1:$3,3,0),0)</f>
        <v>0</v>
      </c>
    </row>
    <row r="2088" spans="1:20" ht="22.2" hidden="1" customHeight="1">
      <c r="A2088" s="1444">
        <f>COUNTIF($C$12:C2088,"x")</f>
        <v>60</v>
      </c>
      <c r="B2088" s="1456" t="s">
        <v>382</v>
      </c>
      <c r="C2088" s="966" t="str">
        <f t="shared" si="370"/>
        <v xml:space="preserve"> </v>
      </c>
      <c r="D2088" s="1411">
        <f>D2367</f>
        <v>0</v>
      </c>
      <c r="E2088" s="976"/>
      <c r="F2088" s="988" t="str">
        <f>VLOOKUP($B2088,DG!A:D,DG!$C$2,)</f>
        <v>Chụp đầu cực FCO (bộ 2 cái)</v>
      </c>
      <c r="G2088" s="976" t="str">
        <f>VLOOKUP($B2088,DG!A:D,DG!$D$2,)</f>
        <v>bộ</v>
      </c>
      <c r="H2088" s="1689">
        <f t="shared" si="372"/>
        <v>0</v>
      </c>
      <c r="I2088" s="1689"/>
      <c r="J2088" s="1689"/>
      <c r="K2088" s="1689"/>
      <c r="L2088" s="1688">
        <f>IFERROR(HLOOKUP(chitiet!B2088,pp1p!$1:$3,3,0),0)</f>
        <v>0</v>
      </c>
      <c r="M2088" s="1689"/>
      <c r="N2088" s="1689"/>
      <c r="O2088" s="1689"/>
      <c r="P2088" s="1689">
        <f t="shared" si="373"/>
        <v>0</v>
      </c>
      <c r="Q2088" s="985"/>
      <c r="R2088" s="985"/>
      <c r="S2088" s="985"/>
      <c r="T2088" s="1858">
        <f>IFERROR(HLOOKUP(B2088,pp1p!$1:$3,3,0),0)</f>
        <v>0</v>
      </c>
    </row>
    <row r="2089" spans="1:20" ht="22.2" hidden="1" customHeight="1">
      <c r="A2089" s="1444">
        <f>COUNTIF($C$12:C2089,"x")</f>
        <v>60</v>
      </c>
      <c r="B2089" s="1456" t="s">
        <v>1269</v>
      </c>
      <c r="C2089" s="966" t="str">
        <f t="shared" si="370"/>
        <v xml:space="preserve"> </v>
      </c>
      <c r="D2089" s="1410">
        <f>(E2012)/1000</f>
        <v>0</v>
      </c>
      <c r="E2089" s="976" t="str">
        <f>VLOOKUP($B2089,DG!A:D,DG!$B$2,)</f>
        <v>06.6114</v>
      </c>
      <c r="F2089" s="981" t="str">
        <f>VLOOKUP($B2089,DG!A:D,DG!$C$2,)</f>
        <v>Kéo dây nhôm lõi thép cỡ dây 50mm2</v>
      </c>
      <c r="G2089" s="976" t="str">
        <f>VLOOKUP($B2089,DG!A:D,DG!$D$2,)</f>
        <v>km</v>
      </c>
      <c r="H2089" s="1695">
        <f t="shared" si="372"/>
        <v>0</v>
      </c>
      <c r="I2089" s="1689"/>
      <c r="J2089" s="1689"/>
      <c r="K2089" s="1689"/>
      <c r="L2089" s="1688">
        <f>IFERROR(HLOOKUP(chitiet!B2089,pp1p!$1:$3,3,0),0)</f>
        <v>0</v>
      </c>
      <c r="M2089" s="1689"/>
      <c r="N2089" s="1689"/>
      <c r="O2089" s="1689"/>
      <c r="P2089" s="1695">
        <f t="shared" si="373"/>
        <v>0</v>
      </c>
      <c r="Q2089" s="985"/>
      <c r="R2089" s="985"/>
      <c r="S2089" s="985"/>
      <c r="T2089" s="1858">
        <f>IFERROR(HLOOKUP(B2089,pp1p!$1:$3,3,0),0)</f>
        <v>0</v>
      </c>
    </row>
    <row r="2090" spans="1:20" ht="22.2" hidden="1" customHeight="1">
      <c r="A2090" s="1444">
        <f>COUNTIF($C$12:C2090,"x")</f>
        <v>60</v>
      </c>
      <c r="B2090" s="1456" t="s">
        <v>1414</v>
      </c>
      <c r="C2090" s="966" t="str">
        <f t="shared" si="370"/>
        <v xml:space="preserve"> </v>
      </c>
      <c r="D2090" s="1410">
        <f>(E2011)/1000</f>
        <v>0</v>
      </c>
      <c r="E2090" s="976" t="str">
        <f>VLOOKUP($B2090,DG!A:D,DG!$B$2,)</f>
        <v>06.6105</v>
      </c>
      <c r="F2090" s="981" t="str">
        <f>VLOOKUP($B2090,DG!A:D,DG!$C$2,)</f>
        <v>Kéo dây nhôm lõi thép cỡ dây 70mm2</v>
      </c>
      <c r="G2090" s="976" t="str">
        <f>VLOOKUP($B2090,DG!A:D,DG!$D$2,)</f>
        <v>km</v>
      </c>
      <c r="H2090" s="1689">
        <f t="shared" si="372"/>
        <v>0</v>
      </c>
      <c r="I2090" s="1689"/>
      <c r="J2090" s="1689"/>
      <c r="K2090" s="1689"/>
      <c r="L2090" s="1688">
        <f>IFERROR(HLOOKUP(chitiet!B2090,pp1p!$1:$3,3,0),0)</f>
        <v>0</v>
      </c>
      <c r="M2090" s="1689"/>
      <c r="N2090" s="1689"/>
      <c r="O2090" s="1689"/>
      <c r="P2090" s="1689">
        <f t="shared" si="373"/>
        <v>0</v>
      </c>
      <c r="Q2090" s="985"/>
      <c r="R2090" s="985"/>
      <c r="S2090" s="985"/>
      <c r="T2090" s="1858">
        <f>IFERROR(HLOOKUP(B2090,pp1p!$1:$3,3,0),0)</f>
        <v>0</v>
      </c>
    </row>
    <row r="2091" spans="1:20" ht="22.2" hidden="1" customHeight="1">
      <c r="A2091" s="1444">
        <f>COUNTIF($C$12:C2091,"x")</f>
        <v>60</v>
      </c>
      <c r="B2091" s="1456" t="s">
        <v>366</v>
      </c>
      <c r="C2091" s="966" t="str">
        <f t="shared" si="370"/>
        <v xml:space="preserve"> </v>
      </c>
      <c r="D2091" s="1410">
        <f>E2013/1000</f>
        <v>0</v>
      </c>
      <c r="E2091" s="976" t="str">
        <f>VLOOKUP($B2091,DG!A:D,DG!$B$2,)</f>
        <v>06.6114</v>
      </c>
      <c r="F2091" s="981" t="str">
        <f>VLOOKUP($B2091,DG!A:D,DG!$C$2,)</f>
        <v>Kéo dây nhôm bọc cỡ dây 50mm2</v>
      </c>
      <c r="G2091" s="976" t="str">
        <f>VLOOKUP($B2091,DG!A:D,DG!$D$2,)</f>
        <v>km</v>
      </c>
      <c r="H2091" s="1695">
        <f t="shared" si="372"/>
        <v>0</v>
      </c>
      <c r="I2091" s="1689"/>
      <c r="J2091" s="1689"/>
      <c r="K2091" s="1689"/>
      <c r="L2091" s="1688">
        <f>IFERROR(HLOOKUP(chitiet!B2091,pp1p!$1:$3,3,0),0)</f>
        <v>0</v>
      </c>
      <c r="M2091" s="1689"/>
      <c r="N2091" s="1689"/>
      <c r="O2091" s="1689"/>
      <c r="P2091" s="1695">
        <f t="shared" si="373"/>
        <v>0</v>
      </c>
      <c r="Q2091" s="985"/>
      <c r="R2091" s="985"/>
      <c r="S2091" s="985"/>
      <c r="T2091" s="1858">
        <f>IFERROR(HLOOKUP(B2091,pp1p!$1:$3,3,0),0)</f>
        <v>0</v>
      </c>
    </row>
    <row r="2092" spans="1:20" ht="22.2" hidden="1" customHeight="1">
      <c r="A2092" s="1444">
        <f>COUNTIF($C$12:C2092,"x")</f>
        <v>60</v>
      </c>
      <c r="B2092" s="1451" t="s">
        <v>347</v>
      </c>
      <c r="C2092" s="966" t="str">
        <f t="shared" si="370"/>
        <v xml:space="preserve"> </v>
      </c>
      <c r="D2092" s="1411">
        <f>D2027+D2030+D2034</f>
        <v>0</v>
      </c>
      <c r="E2092" s="976" t="str">
        <f>VLOOKUP($B2092,DG!A:D,DG!$B$2,)</f>
        <v>06.1115</v>
      </c>
      <c r="F2092" s="981" t="str">
        <f>VLOOKUP($B2092,DG!A:D,DG!$C$2,)</f>
        <v>Lắp sứ đứng 24KV</v>
      </c>
      <c r="G2092" s="976" t="str">
        <f>VLOOKUP($B2092,DG!A:D,DG!$D$2,)</f>
        <v>bộ</v>
      </c>
      <c r="H2092" s="1689">
        <f t="shared" si="372"/>
        <v>0</v>
      </c>
      <c r="I2092" s="1689"/>
      <c r="J2092" s="1689"/>
      <c r="K2092" s="1689"/>
      <c r="L2092" s="1688">
        <f>IFERROR(HLOOKUP(chitiet!B2092,pp1p!$1:$3,3,0),0)</f>
        <v>0</v>
      </c>
      <c r="M2092" s="1689"/>
      <c r="N2092" s="1689"/>
      <c r="O2092" s="1689"/>
      <c r="P2092" s="1689">
        <f t="shared" si="373"/>
        <v>0</v>
      </c>
      <c r="Q2092" s="985"/>
      <c r="R2092" s="985"/>
      <c r="S2092" s="985"/>
      <c r="T2092" s="1858">
        <f>IFERROR(HLOOKUP(B2092,pp1p!$1:$3,3,0),0)</f>
        <v>0</v>
      </c>
    </row>
    <row r="2093" spans="1:20" ht="22.2" hidden="1" customHeight="1">
      <c r="A2093" s="1444">
        <f>COUNTIF($C$12:C2093,"x")</f>
        <v>60</v>
      </c>
      <c r="B2093" s="1451" t="s">
        <v>348</v>
      </c>
      <c r="C2093" s="966" t="str">
        <f t="shared" si="370"/>
        <v xml:space="preserve"> </v>
      </c>
      <c r="D2093" s="1411">
        <f>D2031+D2035</f>
        <v>0</v>
      </c>
      <c r="E2093" s="976" t="str">
        <f>VLOOKUP($B2093,DG!A:D,DG!$B$2,)</f>
        <v>06.3231</v>
      </c>
      <c r="F2093" s="981" t="str">
        <f>VLOOKUP($B2093,DG!A:D,DG!$C$2,)</f>
        <v>Lắp chân sứ đỉnh</v>
      </c>
      <c r="G2093" s="976" t="str">
        <f>VLOOKUP($B2093,DG!A:D,DG!$D$2,)</f>
        <v>cái</v>
      </c>
      <c r="H2093" s="1689">
        <f t="shared" si="372"/>
        <v>0</v>
      </c>
      <c r="I2093" s="1689"/>
      <c r="J2093" s="1689"/>
      <c r="K2093" s="1689"/>
      <c r="L2093" s="1688">
        <f>IFERROR(HLOOKUP(chitiet!B2093,pp1p!$1:$3,3,0),0)</f>
        <v>0</v>
      </c>
      <c r="M2093" s="1689"/>
      <c r="N2093" s="1689"/>
      <c r="O2093" s="1689"/>
      <c r="P2093" s="1689">
        <f t="shared" si="373"/>
        <v>0</v>
      </c>
      <c r="Q2093" s="985"/>
      <c r="R2093" s="985"/>
      <c r="S2093" s="985"/>
      <c r="T2093" s="1858">
        <f>IFERROR(HLOOKUP(B2093,pp1p!$1:$3,3,0),0)</f>
        <v>0</v>
      </c>
    </row>
    <row r="2094" spans="1:20" ht="22.2" hidden="1" customHeight="1">
      <c r="A2094" s="1444">
        <f>COUNTIF($C$12:C2094,"x")</f>
        <v>60</v>
      </c>
      <c r="B2094" s="1451" t="s">
        <v>349</v>
      </c>
      <c r="C2094" s="966" t="str">
        <f t="shared" si="370"/>
        <v xml:space="preserve"> </v>
      </c>
      <c r="D2094" s="1411">
        <f>D2059</f>
        <v>0</v>
      </c>
      <c r="E2094" s="976" t="str">
        <f>VLOOKUP($B2094,DG!A:D,DG!$B$2,)</f>
        <v>06.1410</v>
      </c>
      <c r="F2094" s="981" t="str">
        <f>VLOOKUP($B2094,DG!A:D,DG!$C$2,)</f>
        <v>Lắp chuỗi sứ đỡ 2 bát/chuỗi</v>
      </c>
      <c r="G2094" s="976" t="str">
        <f>VLOOKUP($B2094,DG!A:D,DG!$D$2,)</f>
        <v>chuỗi</v>
      </c>
      <c r="H2094" s="1689">
        <f t="shared" si="372"/>
        <v>0</v>
      </c>
      <c r="I2094" s="1689"/>
      <c r="J2094" s="1689"/>
      <c r="K2094" s="1689"/>
      <c r="L2094" s="1688">
        <f>IFERROR(HLOOKUP(chitiet!B2094,pp1p!$1:$3,3,0),0)</f>
        <v>0</v>
      </c>
      <c r="M2094" s="1689"/>
      <c r="N2094" s="1689"/>
      <c r="O2094" s="1689"/>
      <c r="P2094" s="1689">
        <f t="shared" si="373"/>
        <v>0</v>
      </c>
      <c r="Q2094" s="985"/>
      <c r="R2094" s="985"/>
      <c r="S2094" s="985"/>
      <c r="T2094" s="1858">
        <f>IFERROR(HLOOKUP(B2094,pp1p!$1:$3,3,0),0)</f>
        <v>0</v>
      </c>
    </row>
    <row r="2095" spans="1:20" ht="22.2" hidden="1" customHeight="1">
      <c r="A2095" s="1444">
        <f>COUNTIF($C$12:C2095,"x")</f>
        <v>60</v>
      </c>
      <c r="B2095" s="1451" t="s">
        <v>350</v>
      </c>
      <c r="C2095" s="966" t="str">
        <f t="shared" si="370"/>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72"/>
        <v>0</v>
      </c>
      <c r="I2095" s="1689"/>
      <c r="J2095" s="1689"/>
      <c r="K2095" s="1689"/>
      <c r="L2095" s="1688">
        <f>IFERROR(HLOOKUP(chitiet!B2095,pp1p!$1:$3,3,0),0)</f>
        <v>0</v>
      </c>
      <c r="M2095" s="1689"/>
      <c r="N2095" s="1689"/>
      <c r="O2095" s="1689"/>
      <c r="P2095" s="1689">
        <f t="shared" si="373"/>
        <v>0</v>
      </c>
      <c r="Q2095" s="990"/>
      <c r="R2095" s="990"/>
      <c r="S2095" s="990"/>
      <c r="T2095" s="1858">
        <f>IFERROR(HLOOKUP(B2095,pp1p!$1:$3,3,0),0)</f>
        <v>0</v>
      </c>
    </row>
    <row r="2096" spans="1:20" ht="22.2" hidden="1" customHeight="1">
      <c r="A2096" s="1444">
        <f>COUNTIF($C$12:C2096,"x")</f>
        <v>60</v>
      </c>
      <c r="B2096" s="1451" t="s">
        <v>1507</v>
      </c>
      <c r="C2096" s="966" t="str">
        <f t="shared" si="370"/>
        <v xml:space="preserve"> </v>
      </c>
      <c r="D2096" s="1411">
        <f>D2047+D2043</f>
        <v>0</v>
      </c>
      <c r="E2096" s="976" t="str">
        <f>VLOOKUP($B2096,DG!A:D,DG!$B$2,)</f>
        <v>06.2201</v>
      </c>
      <c r="F2096" s="981" t="str">
        <f>VLOOKUP($B2096,DG!A:D,DG!$C$2,)</f>
        <v>Lắp chuỗi sứ néo Polymer</v>
      </c>
      <c r="G2096" s="976" t="str">
        <f>VLOOKUP($B2096,DG!A:D,DG!$D$2,)</f>
        <v>chuỗi</v>
      </c>
      <c r="H2096" s="1689">
        <f t="shared" si="372"/>
        <v>0</v>
      </c>
      <c r="I2096" s="1689"/>
      <c r="J2096" s="1689"/>
      <c r="K2096" s="1689"/>
      <c r="L2096" s="1688">
        <f>IFERROR(HLOOKUP(chitiet!B2096,pp1p!$1:$3,3,0),0)</f>
        <v>0</v>
      </c>
      <c r="M2096" s="1689"/>
      <c r="N2096" s="1689"/>
      <c r="O2096" s="1689"/>
      <c r="P2096" s="1689">
        <f t="shared" si="373"/>
        <v>0</v>
      </c>
      <c r="Q2096" s="990"/>
      <c r="R2096" s="990"/>
      <c r="S2096" s="990"/>
      <c r="T2096" s="1858">
        <f>IFERROR(HLOOKUP(B2096,pp1p!$1:$3,3,0),0)</f>
        <v>0</v>
      </c>
    </row>
    <row r="2097" spans="1:20" ht="22.2" hidden="1" customHeight="1">
      <c r="A2097" s="1444">
        <f>COUNTIF($C$12:C2097,"x")</f>
        <v>60</v>
      </c>
      <c r="B2097" s="1451" t="s">
        <v>351</v>
      </c>
      <c r="C2097" s="966" t="str">
        <f t="shared" si="370"/>
        <v xml:space="preserve"> </v>
      </c>
      <c r="D2097" s="1411">
        <f>D2015+D2018</f>
        <v>0</v>
      </c>
      <c r="E2097" s="976" t="str">
        <f>VLOOKUP($B2097,DG!A:D,DG!$B$2,)</f>
        <v>06.1211</v>
      </c>
      <c r="F2097" s="981" t="str">
        <f>VLOOKUP($B2097,DG!A:D,DG!$C$2,)</f>
        <v>Lắp rack sứ + sứ ống chỉ</v>
      </c>
      <c r="G2097" s="976" t="str">
        <f>VLOOKUP($B2097,DG!A:D,DG!$D$2,)</f>
        <v>bộ</v>
      </c>
      <c r="H2097" s="1689">
        <f t="shared" si="372"/>
        <v>0</v>
      </c>
      <c r="I2097" s="1689"/>
      <c r="J2097" s="1689"/>
      <c r="K2097" s="1689"/>
      <c r="L2097" s="1688">
        <f>IFERROR(HLOOKUP(chitiet!B2097,pp1p!$1:$3,3,0),0)</f>
        <v>0</v>
      </c>
      <c r="M2097" s="1689"/>
      <c r="N2097" s="1689"/>
      <c r="O2097" s="1689"/>
      <c r="P2097" s="1689">
        <f t="shared" si="373"/>
        <v>0</v>
      </c>
      <c r="Q2097" s="985"/>
      <c r="R2097" s="985"/>
      <c r="S2097" s="985"/>
      <c r="T2097" s="1858">
        <f>IFERROR(HLOOKUP(B2097,pp1p!$1:$3,3,0),0)</f>
        <v>0</v>
      </c>
    </row>
    <row r="2098" spans="1:20" ht="22.2" hidden="1" customHeight="1">
      <c r="A2098" s="1444">
        <f>COUNTIF($C$12:C2098,"x")</f>
        <v>60</v>
      </c>
      <c r="B2098" s="1451" t="s">
        <v>353</v>
      </c>
      <c r="C2098" s="966" t="str">
        <f t="shared" si="370"/>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3"/>
        <v>0</v>
      </c>
      <c r="Q2098" s="990"/>
      <c r="R2098" s="990"/>
      <c r="S2098" s="990"/>
      <c r="T2098" s="1858">
        <f>IFERROR(HLOOKUP(B2098,pp1p!$1:$3,3,0),0)</f>
        <v>0</v>
      </c>
    </row>
    <row r="2099" spans="1:20" ht="22.2" hidden="1" customHeight="1">
      <c r="A2099" s="1444">
        <f>COUNTIF($C$12:C2099,"x")</f>
        <v>60</v>
      </c>
      <c r="B2099" s="1451" t="s">
        <v>354</v>
      </c>
      <c r="C2099" s="966" t="str">
        <f t="shared" si="370"/>
        <v xml:space="preserve"> </v>
      </c>
      <c r="D2099" s="1408">
        <f>pp1p!CW94*0</f>
        <v>0</v>
      </c>
      <c r="E2099" s="976" t="str">
        <f>VLOOKUP($B2099,DG!A:D,DG!$B$2,)</f>
        <v>06.5082</v>
      </c>
      <c r="F2099" s="981" t="s">
        <v>2558</v>
      </c>
      <c r="G2099" s="976" t="str">
        <f>VLOOKUP($B2099,DG!A:D,DG!$D$2,)</f>
        <v>vị trí</v>
      </c>
      <c r="H2099" s="1689">
        <f t="shared" ref="H2099:H2104" si="374">D2099</f>
        <v>0</v>
      </c>
      <c r="I2099" s="1689"/>
      <c r="J2099" s="1689"/>
      <c r="K2099" s="1689"/>
      <c r="L2099" s="1688">
        <f>IFERROR(HLOOKUP(chitiet!B2099,pp1p!$1:$3,3,0),0)</f>
        <v>0</v>
      </c>
      <c r="M2099" s="1689"/>
      <c r="N2099" s="1689"/>
      <c r="O2099" s="1689"/>
      <c r="P2099" s="1689">
        <f t="shared" si="373"/>
        <v>0</v>
      </c>
      <c r="Q2099" s="990"/>
      <c r="R2099" s="990"/>
      <c r="S2099" s="990"/>
      <c r="T2099" s="1858">
        <f>IFERROR(HLOOKUP(B2099,pp1p!$1:$3,3,0),0)</f>
        <v>0</v>
      </c>
    </row>
    <row r="2100" spans="1:20" ht="22.2" hidden="1" customHeight="1">
      <c r="A2100" s="1444">
        <f>COUNTIF($C$12:C2100,"x")</f>
        <v>60</v>
      </c>
      <c r="B2100" s="1451" t="s">
        <v>355</v>
      </c>
      <c r="C2100" s="966" t="str">
        <f t="shared" ref="C2100:C2166" si="375">IF(OR(P2100&lt;&gt;0,H2100&lt;&gt;0),"x"," ")</f>
        <v xml:space="preserve"> </v>
      </c>
      <c r="D2100" s="1410">
        <f>D2103</f>
        <v>0</v>
      </c>
      <c r="E2100" s="976" t="str">
        <f>VLOOKUP($B2100,DG!A:D,DG!$B$2,)</f>
        <v>02.1122</v>
      </c>
      <c r="F2100" s="981" t="str">
        <f>VLOOKUP($B2100,DG!A:D,DG!$C$2,)</f>
        <v>Bốc dỡ dây</v>
      </c>
      <c r="G2100" s="976" t="str">
        <f>VLOOKUP($B2100,DG!A:D,DG!$D$2,)</f>
        <v>tấn</v>
      </c>
      <c r="H2100" s="1689">
        <f t="shared" si="374"/>
        <v>0</v>
      </c>
      <c r="I2100" s="1689"/>
      <c r="J2100" s="1689"/>
      <c r="K2100" s="1689"/>
      <c r="L2100" s="1688">
        <f>IFERROR(HLOOKUP(chitiet!B2100,pp1p!$1:$3,3,0),0)</f>
        <v>0</v>
      </c>
      <c r="M2100" s="1689"/>
      <c r="N2100" s="1689"/>
      <c r="O2100" s="1689"/>
      <c r="P2100" s="1689">
        <f t="shared" si="373"/>
        <v>0</v>
      </c>
      <c r="Q2100" s="990"/>
      <c r="R2100" s="990"/>
      <c r="S2100" s="990"/>
      <c r="T2100" s="1858">
        <f>IFERROR(HLOOKUP(B2100,pp1p!$1:$3,3,0),0)</f>
        <v>0</v>
      </c>
    </row>
    <row r="2101" spans="1:20" ht="22.2" hidden="1" customHeight="1">
      <c r="A2101" s="1444">
        <f>COUNTIF($C$12:C2101,"x")</f>
        <v>60</v>
      </c>
      <c r="B2101" s="1451" t="s">
        <v>1902</v>
      </c>
      <c r="C2101" s="966" t="str">
        <f t="shared" si="375"/>
        <v xml:space="preserve"> </v>
      </c>
      <c r="D2101" s="1410">
        <f>D2102</f>
        <v>0</v>
      </c>
      <c r="E2101" s="976" t="str">
        <f>VLOOKUP($B2101,DG!A:D,DG!$B$2,)</f>
        <v>02.1120</v>
      </c>
      <c r="F2101" s="981" t="str">
        <f>VLOOKUP($B2101,DG!A:D,DG!$C$2,)</f>
        <v>Bốc dỡ phụ kiện</v>
      </c>
      <c r="G2101" s="976" t="str">
        <f>VLOOKUP($B2101,DG!A:D,DG!$D$2,)</f>
        <v>tấn</v>
      </c>
      <c r="H2101" s="1689">
        <f t="shared" si="374"/>
        <v>0</v>
      </c>
      <c r="I2101" s="1689"/>
      <c r="J2101" s="1689"/>
      <c r="K2101" s="1689"/>
      <c r="L2101" s="1688">
        <f>IFERROR(HLOOKUP(chitiet!B2101,pp1p!$1:$3,3,0),0)</f>
        <v>0</v>
      </c>
      <c r="M2101" s="1689"/>
      <c r="N2101" s="1689"/>
      <c r="O2101" s="1689"/>
      <c r="P2101" s="1689">
        <f t="shared" si="373"/>
        <v>0</v>
      </c>
      <c r="Q2101" s="990"/>
      <c r="R2101" s="990"/>
      <c r="S2101" s="990"/>
      <c r="T2101" s="1858">
        <f>IFERROR(HLOOKUP(B2101,pp1p!$1:$3,3,0),0)</f>
        <v>0</v>
      </c>
    </row>
    <row r="2102" spans="1:20" ht="22.2" hidden="1" customHeight="1">
      <c r="A2102" s="1444">
        <f>COUNTIF($C$12:C2102,"x")</f>
        <v>60</v>
      </c>
      <c r="B2102" s="1462" t="s">
        <v>356</v>
      </c>
      <c r="C2102" s="966" t="str">
        <f t="shared" si="375"/>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4"/>
        <v>0</v>
      </c>
      <c r="I2102" s="1689"/>
      <c r="J2102" s="1689"/>
      <c r="K2102" s="1689"/>
      <c r="L2102" s="1688">
        <f>IFERROR(HLOOKUP(chitiet!B2102,pp1p!$1:$3,3,0),0)</f>
        <v>0</v>
      </c>
      <c r="M2102" s="1689"/>
      <c r="N2102" s="1689"/>
      <c r="O2102" s="1689"/>
      <c r="P2102" s="1689">
        <f t="shared" si="373"/>
        <v>0</v>
      </c>
      <c r="Q2102" s="990"/>
      <c r="R2102" s="990"/>
      <c r="S2102" s="990"/>
      <c r="T2102" s="1858">
        <f>IFERROR(HLOOKUP(B2102,pp1p!$1:$3,3,0),0)</f>
        <v>0</v>
      </c>
    </row>
    <row r="2103" spans="1:20" ht="22.2" hidden="1" customHeight="1">
      <c r="A2103" s="1444">
        <f>COUNTIF($C$12:C2103,"x")</f>
        <v>60</v>
      </c>
      <c r="B2103" s="1462" t="s">
        <v>357</v>
      </c>
      <c r="C2103" s="966" t="str">
        <f t="shared" si="375"/>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4"/>
        <v>0</v>
      </c>
      <c r="I2103" s="1689"/>
      <c r="J2103" s="1689"/>
      <c r="K2103" s="1689"/>
      <c r="L2103" s="1688">
        <f>IFERROR(HLOOKUP(chitiet!B2103,pp1p!$1:$3,3,0),0)</f>
        <v>0</v>
      </c>
      <c r="M2103" s="1689"/>
      <c r="N2103" s="1689"/>
      <c r="O2103" s="1689"/>
      <c r="P2103" s="1689">
        <f t="shared" si="373"/>
        <v>0</v>
      </c>
      <c r="Q2103" s="990"/>
      <c r="R2103" s="990"/>
      <c r="S2103" s="990"/>
      <c r="T2103" s="1858">
        <f>IFERROR(HLOOKUP(B2103,pp1p!$1:$3,3,0),0)</f>
        <v>0</v>
      </c>
    </row>
    <row r="2104" spans="1:20" ht="22.2" hidden="1" customHeight="1">
      <c r="A2104" s="1444">
        <f>COUNTIF($C$12:C2104,"x")</f>
        <v>60</v>
      </c>
      <c r="B2104" s="1460" t="s">
        <v>606</v>
      </c>
      <c r="C2104" s="966" t="str">
        <f t="shared" si="375"/>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4"/>
        <v>0</v>
      </c>
      <c r="I2104" s="1689"/>
      <c r="J2104" s="1689"/>
      <c r="K2104" s="1689"/>
      <c r="L2104" s="1688">
        <f>IFERROR(HLOOKUP(chitiet!B2104,pp1p!$1:$3,3,0),0)</f>
        <v>0</v>
      </c>
      <c r="M2104" s="1689"/>
      <c r="N2104" s="1689"/>
      <c r="O2104" s="1689"/>
      <c r="P2104" s="1689">
        <f t="shared" si="373"/>
        <v>0</v>
      </c>
      <c r="Q2104" s="990"/>
      <c r="R2104" s="990"/>
      <c r="S2104" s="990"/>
      <c r="T2104" s="1858">
        <f>IFERROR(HLOOKUP(B2104,pp1p!$1:$3,3,0),0)</f>
        <v>0</v>
      </c>
    </row>
    <row r="2105" spans="1:20" ht="22.2" hidden="1" customHeight="1" collapsed="1">
      <c r="A2105" s="1444">
        <f>COUNTIF($C$12:C2105,"x")</f>
        <v>60</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6">IFERROR(HLOOKUP(B2105,BangKeTru,3,0),0)</f>
        <v>0</v>
      </c>
    </row>
    <row r="2106" spans="1:20" ht="22.2" hidden="1" customHeight="1">
      <c r="A2106" s="1444">
        <f>COUNTIF($C$12:C2106,"x")</f>
        <v>60</v>
      </c>
      <c r="B2106" s="1451" t="s">
        <v>1343</v>
      </c>
      <c r="C2106" s="966" t="str">
        <f t="shared" si="375"/>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7">D2106</f>
        <v>0</v>
      </c>
      <c r="O2106" s="1689"/>
      <c r="P2106" s="1689">
        <f t="shared" si="373"/>
        <v>0</v>
      </c>
      <c r="Q2106" s="985"/>
      <c r="R2106" s="985"/>
      <c r="S2106" s="985"/>
      <c r="T2106" s="1858">
        <f t="shared" si="376"/>
        <v>0</v>
      </c>
    </row>
    <row r="2107" spans="1:20" ht="22.2" hidden="1" customHeight="1">
      <c r="A2107" s="1444">
        <f>COUNTIF($C$12:C2107,"x")</f>
        <v>60</v>
      </c>
      <c r="B2107" s="1451" t="s">
        <v>1034</v>
      </c>
      <c r="C2107" s="966" t="str">
        <f t="shared" si="375"/>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7"/>
        <v>0</v>
      </c>
      <c r="O2107" s="1692"/>
      <c r="P2107" s="1689">
        <f t="shared" si="373"/>
        <v>0</v>
      </c>
      <c r="Q2107" s="1291"/>
      <c r="R2107" s="1291"/>
      <c r="S2107" s="1291"/>
      <c r="T2107" s="1858">
        <f t="shared" si="376"/>
        <v>0</v>
      </c>
    </row>
    <row r="2108" spans="1:20" ht="22.2" hidden="1" customHeight="1">
      <c r="A2108" s="1444">
        <f>COUNTIF($C$12:C2108,"x")</f>
        <v>60</v>
      </c>
      <c r="B2108" s="1451" t="s">
        <v>88</v>
      </c>
      <c r="C2108" s="966" t="str">
        <f t="shared" si="375"/>
        <v xml:space="preserve"> </v>
      </c>
      <c r="D2108" s="1411">
        <f>ROUND(E2108*1.02*0.195,0)</f>
        <v>0</v>
      </c>
      <c r="E2108" s="1289"/>
      <c r="F2108" s="1274" t="str">
        <f>VLOOKUP($B2108,DG!A:D,DG!$C$2,)</f>
        <v>Cáp nhôm lõi thép AC-50/8</v>
      </c>
      <c r="G2108" s="1290" t="str">
        <f>VLOOKUP($B2108,DG!A:D,DG!$D$2,)</f>
        <v>kg</v>
      </c>
      <c r="H2108" s="1692">
        <f t="shared" ref="H2108:H2127" si="378">D2108</f>
        <v>0</v>
      </c>
      <c r="I2108" s="1692"/>
      <c r="J2108" s="1692"/>
      <c r="K2108" s="1692"/>
      <c r="L2108" s="1692"/>
      <c r="M2108" s="1692"/>
      <c r="N2108" s="1692">
        <f t="shared" si="377"/>
        <v>0</v>
      </c>
      <c r="O2108" s="1692"/>
      <c r="P2108" s="1689">
        <f t="shared" si="373"/>
        <v>0</v>
      </c>
      <c r="Q2108" s="1291"/>
      <c r="R2108" s="1291"/>
      <c r="S2108" s="1291"/>
      <c r="T2108" s="1858">
        <f t="shared" si="376"/>
        <v>0</v>
      </c>
    </row>
    <row r="2109" spans="1:20" ht="22.2" hidden="1" customHeight="1">
      <c r="A2109" s="1444">
        <f>COUNTIF($C$12:C2109,"x")</f>
        <v>60</v>
      </c>
      <c r="B2109" s="1451" t="s">
        <v>2260</v>
      </c>
      <c r="C2109" s="966" t="str">
        <f t="shared" si="375"/>
        <v xml:space="preserve"> </v>
      </c>
      <c r="D2109" s="1411">
        <f t="shared" ref="D2109:D2115" si="379">ROUND(E2109*1.02,0)</f>
        <v>0</v>
      </c>
      <c r="E2109" s="993">
        <f>ppht!C350</f>
        <v>0</v>
      </c>
      <c r="F2109" s="988" t="str">
        <f>VLOOKUP($B2109,DG!A:D,DG!$C$2,)</f>
        <v>Cáp nhôm ABC 3x50mm2</v>
      </c>
      <c r="G2109" s="976" t="str">
        <f>VLOOKUP($B2109,DG!A:D,DG!$D$2,)</f>
        <v>mét</v>
      </c>
      <c r="H2109" s="1689">
        <f t="shared" si="378"/>
        <v>0</v>
      </c>
      <c r="I2109" s="1689"/>
      <c r="J2109" s="1689"/>
      <c r="K2109" s="1689"/>
      <c r="L2109" s="1689"/>
      <c r="M2109" s="1689"/>
      <c r="N2109" s="1689">
        <f t="shared" si="377"/>
        <v>0</v>
      </c>
      <c r="O2109" s="1689"/>
      <c r="P2109" s="1689">
        <f t="shared" si="373"/>
        <v>0</v>
      </c>
      <c r="Q2109" s="985"/>
      <c r="R2109" s="985"/>
      <c r="S2109" s="985"/>
      <c r="T2109" s="1858">
        <f t="shared" si="376"/>
        <v>0</v>
      </c>
    </row>
    <row r="2110" spans="1:20" ht="22.2" hidden="1" customHeight="1">
      <c r="A2110" s="1444">
        <f>COUNTIF($C$12:C2110,"x")</f>
        <v>60</v>
      </c>
      <c r="B2110" s="1451" t="s">
        <v>2261</v>
      </c>
      <c r="C2110" s="966" t="str">
        <f t="shared" si="375"/>
        <v xml:space="preserve"> </v>
      </c>
      <c r="D2110" s="1411">
        <f t="shared" si="379"/>
        <v>0</v>
      </c>
      <c r="E2110" s="993">
        <f>ppht!C349</f>
        <v>0</v>
      </c>
      <c r="F2110" s="988" t="str">
        <f>VLOOKUP($B2110,DG!A:D,DG!$C$2,)</f>
        <v>Cáp nhôm ABC 3x70mm2</v>
      </c>
      <c r="G2110" s="976" t="str">
        <f>VLOOKUP($B2110,DG!A:D,DG!$D$2,)</f>
        <v>mét</v>
      </c>
      <c r="H2110" s="1689">
        <f t="shared" si="378"/>
        <v>0</v>
      </c>
      <c r="I2110" s="1689"/>
      <c r="J2110" s="1689"/>
      <c r="K2110" s="1689"/>
      <c r="L2110" s="1689"/>
      <c r="M2110" s="1689"/>
      <c r="N2110" s="1689">
        <f t="shared" si="377"/>
        <v>0</v>
      </c>
      <c r="O2110" s="1689"/>
      <c r="P2110" s="1689">
        <f t="shared" si="373"/>
        <v>0</v>
      </c>
      <c r="Q2110" s="985"/>
      <c r="R2110" s="985"/>
      <c r="S2110" s="985"/>
      <c r="T2110" s="1858">
        <f t="shared" si="376"/>
        <v>0</v>
      </c>
    </row>
    <row r="2111" spans="1:20" ht="22.2" hidden="1" customHeight="1">
      <c r="A2111" s="1444">
        <f>COUNTIF($C$12:C2111,"x")</f>
        <v>60</v>
      </c>
      <c r="B2111" s="1451" t="s">
        <v>1149</v>
      </c>
      <c r="C2111" s="966" t="str">
        <f t="shared" si="375"/>
        <v xml:space="preserve"> </v>
      </c>
      <c r="D2111" s="1411">
        <f t="shared" si="379"/>
        <v>0</v>
      </c>
      <c r="E2111" s="993">
        <f>ppht!C348</f>
        <v>0</v>
      </c>
      <c r="F2111" s="988" t="str">
        <f>VLOOKUP($B2111,DG!A:D,DG!$C$2,)</f>
        <v>Cáp nhôm ABC 4x50mm2</v>
      </c>
      <c r="G2111" s="976" t="str">
        <f>VLOOKUP($B2111,DG!A:D,DG!$D$2,)</f>
        <v>mét</v>
      </c>
      <c r="H2111" s="1689">
        <f t="shared" si="378"/>
        <v>0</v>
      </c>
      <c r="I2111" s="1689"/>
      <c r="J2111" s="1689"/>
      <c r="K2111" s="1689"/>
      <c r="L2111" s="1689"/>
      <c r="M2111" s="1689"/>
      <c r="N2111" s="1689">
        <f t="shared" si="377"/>
        <v>0</v>
      </c>
      <c r="O2111" s="1689"/>
      <c r="P2111" s="1689">
        <f t="shared" si="373"/>
        <v>0</v>
      </c>
      <c r="Q2111" s="985"/>
      <c r="R2111" s="985"/>
      <c r="S2111" s="985"/>
      <c r="T2111" s="1858">
        <f t="shared" si="376"/>
        <v>0</v>
      </c>
    </row>
    <row r="2112" spans="1:20" ht="22.2" hidden="1" customHeight="1">
      <c r="A2112" s="1444">
        <f>COUNTIF($C$12:C2112,"x")</f>
        <v>60</v>
      </c>
      <c r="B2112" s="1451" t="s">
        <v>1150</v>
      </c>
      <c r="C2112" s="966" t="str">
        <f t="shared" si="375"/>
        <v xml:space="preserve"> </v>
      </c>
      <c r="D2112" s="1411">
        <f t="shared" si="379"/>
        <v>0</v>
      </c>
      <c r="E2112" s="1292">
        <f>ppht!C347</f>
        <v>0</v>
      </c>
      <c r="F2112" s="1293" t="str">
        <f>VLOOKUP($B2112,DG!A:D,DG!$C$2,)</f>
        <v>Cáp nhôm ABC 4x70mm2</v>
      </c>
      <c r="G2112" s="976" t="str">
        <f>VLOOKUP($B2112,DG!A:D,DG!$D$2,)</f>
        <v>mét</v>
      </c>
      <c r="H2112" s="1689">
        <f t="shared" si="378"/>
        <v>0</v>
      </c>
      <c r="I2112" s="1689"/>
      <c r="J2112" s="1689"/>
      <c r="K2112" s="1689"/>
      <c r="L2112" s="1689"/>
      <c r="M2112" s="1689"/>
      <c r="N2112" s="1689">
        <f t="shared" si="377"/>
        <v>0</v>
      </c>
      <c r="O2112" s="1689"/>
      <c r="P2112" s="1689">
        <f t="shared" si="373"/>
        <v>0</v>
      </c>
      <c r="Q2112" s="985"/>
      <c r="R2112" s="985"/>
      <c r="S2112" s="985"/>
      <c r="T2112" s="1858">
        <f t="shared" si="376"/>
        <v>0</v>
      </c>
    </row>
    <row r="2113" spans="1:20" ht="22.2" hidden="1" customHeight="1">
      <c r="A2113" s="1444">
        <f>COUNTIF($C$12:C2113,"x")</f>
        <v>60</v>
      </c>
      <c r="B2113" s="1451" t="s">
        <v>1151</v>
      </c>
      <c r="C2113" s="966" t="str">
        <f t="shared" si="375"/>
        <v xml:space="preserve"> </v>
      </c>
      <c r="D2113" s="1411">
        <f t="shared" si="379"/>
        <v>0</v>
      </c>
      <c r="E2113" s="993">
        <f>ppht!C346</f>
        <v>0</v>
      </c>
      <c r="F2113" s="988" t="str">
        <f>VLOOKUP($B2113,DG!A:D,DG!$C$2,)</f>
        <v>Cáp nhôm ABC 4x95mm2</v>
      </c>
      <c r="G2113" s="976" t="str">
        <f>VLOOKUP($B2113,DG!A:D,DG!$D$2,)</f>
        <v>mét</v>
      </c>
      <c r="H2113" s="1689">
        <f t="shared" si="378"/>
        <v>0</v>
      </c>
      <c r="I2113" s="1689"/>
      <c r="J2113" s="1689"/>
      <c r="K2113" s="1689"/>
      <c r="L2113" s="1689"/>
      <c r="M2113" s="1689"/>
      <c r="N2113" s="1689">
        <f t="shared" si="377"/>
        <v>0</v>
      </c>
      <c r="O2113" s="1689"/>
      <c r="P2113" s="1689">
        <f t="shared" si="373"/>
        <v>0</v>
      </c>
      <c r="Q2113" s="985"/>
      <c r="R2113" s="985"/>
      <c r="S2113" s="985"/>
      <c r="T2113" s="1858">
        <f t="shared" si="376"/>
        <v>0</v>
      </c>
    </row>
    <row r="2114" spans="1:20" ht="22.2" hidden="1" customHeight="1">
      <c r="A2114" s="1444">
        <f>COUNTIF($C$12:C2114,"x")</f>
        <v>60</v>
      </c>
      <c r="B2114" s="1451" t="s">
        <v>116</v>
      </c>
      <c r="C2114" s="966" t="str">
        <f t="shared" si="375"/>
        <v xml:space="preserve"> </v>
      </c>
      <c r="D2114" s="1411">
        <f t="shared" si="379"/>
        <v>0</v>
      </c>
      <c r="E2114" s="993">
        <f>ppht!C345</f>
        <v>0</v>
      </c>
      <c r="F2114" s="988" t="str">
        <f>VLOOKUP($B2114,DG!A:D,DG!$C$2,)</f>
        <v>Cáp nhôm ABC 4x150mm2</v>
      </c>
      <c r="G2114" s="976" t="str">
        <f>VLOOKUP($B2114,DG!A:D,DG!$D$2,)</f>
        <v>mét</v>
      </c>
      <c r="H2114" s="1689">
        <f t="shared" si="378"/>
        <v>0</v>
      </c>
      <c r="I2114" s="1689"/>
      <c r="J2114" s="1689"/>
      <c r="K2114" s="1689"/>
      <c r="L2114" s="1689"/>
      <c r="M2114" s="1689"/>
      <c r="N2114" s="1689">
        <f t="shared" si="377"/>
        <v>0</v>
      </c>
      <c r="O2114" s="1689"/>
      <c r="P2114" s="1689">
        <f t="shared" si="373"/>
        <v>0</v>
      </c>
      <c r="Q2114" s="985"/>
      <c r="R2114" s="985"/>
      <c r="S2114" s="985"/>
      <c r="T2114" s="1858">
        <f t="shared" si="376"/>
        <v>0</v>
      </c>
    </row>
    <row r="2115" spans="1:20" ht="22.2" hidden="1" customHeight="1">
      <c r="A2115" s="1444">
        <f>COUNTIF($C$12:C2115,"x")</f>
        <v>60</v>
      </c>
      <c r="B2115" s="1451" t="s">
        <v>1365</v>
      </c>
      <c r="C2115" s="966" t="str">
        <f t="shared" si="375"/>
        <v xml:space="preserve"> </v>
      </c>
      <c r="D2115" s="1411">
        <f t="shared" si="379"/>
        <v>0</v>
      </c>
      <c r="E2115" s="993"/>
      <c r="F2115" s="988" t="str">
        <f>VLOOKUP($B2115,DG!A:D,DG!$C$2,)&amp;": 9m/tủ phân phối"</f>
        <v>Cáp C/XLPE/DSTA/PVC -0.6/1kV-3x50+35mm2: 9m/tủ phân phối</v>
      </c>
      <c r="G2115" s="976" t="str">
        <f>VLOOKUP($B2115,DG!A:D,DG!$D$2,)</f>
        <v>mét</v>
      </c>
      <c r="H2115" s="1689">
        <f t="shared" si="378"/>
        <v>0</v>
      </c>
      <c r="I2115" s="1689"/>
      <c r="J2115" s="1689"/>
      <c r="K2115" s="1689"/>
      <c r="L2115" s="1689"/>
      <c r="M2115" s="1689"/>
      <c r="N2115" s="1689">
        <f t="shared" si="377"/>
        <v>0</v>
      </c>
      <c r="O2115" s="1689"/>
      <c r="P2115" s="1689">
        <f t="shared" si="373"/>
        <v>0</v>
      </c>
      <c r="Q2115" s="985"/>
      <c r="R2115" s="985"/>
      <c r="S2115" s="985"/>
      <c r="T2115" s="1858">
        <f t="shared" si="376"/>
        <v>0</v>
      </c>
    </row>
    <row r="2116" spans="1:20" ht="22.2" hidden="1" customHeight="1">
      <c r="A2116" s="1444">
        <f>COUNTIF($C$12:C2116,"x")</f>
        <v>60</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8"/>
        <v>0</v>
      </c>
      <c r="I2116" s="1689"/>
      <c r="J2116" s="1689"/>
      <c r="K2116" s="1689"/>
      <c r="L2116" s="1689"/>
      <c r="M2116" s="1689"/>
      <c r="N2116" s="1689">
        <f t="shared" si="377"/>
        <v>0</v>
      </c>
      <c r="O2116" s="1689"/>
      <c r="P2116" s="1689">
        <f>H2116+Q2116-R2116</f>
        <v>0</v>
      </c>
      <c r="Q2116" s="985"/>
      <c r="R2116" s="985"/>
      <c r="S2116" s="985"/>
      <c r="T2116" s="1858">
        <f t="shared" si="376"/>
        <v>0</v>
      </c>
    </row>
    <row r="2117" spans="1:20" ht="22.2" hidden="1" customHeight="1">
      <c r="A2117" s="1444">
        <f>COUNTIF($C$12:C2117,"x")</f>
        <v>60</v>
      </c>
      <c r="B2117" s="1477" t="s">
        <v>432</v>
      </c>
      <c r="C2117" s="966" t="str">
        <f t="shared" si="375"/>
        <v xml:space="preserve"> </v>
      </c>
      <c r="D2117" s="1411"/>
      <c r="E2117" s="976"/>
      <c r="F2117" s="988" t="str">
        <f>VLOOKUP($B2117,DG!A:D,DG!$C$2,)</f>
        <v>Ống nối dây cỡ 95mm2</v>
      </c>
      <c r="G2117" s="976" t="str">
        <f>VLOOKUP($B2117,DG!A:D,DG!$D$2,)</f>
        <v>cái</v>
      </c>
      <c r="H2117" s="1689">
        <f t="shared" si="378"/>
        <v>0</v>
      </c>
      <c r="I2117" s="1689"/>
      <c r="J2117" s="1689"/>
      <c r="K2117" s="1689"/>
      <c r="L2117" s="1689"/>
      <c r="M2117" s="1689"/>
      <c r="N2117" s="1689">
        <f t="shared" si="377"/>
        <v>0</v>
      </c>
      <c r="O2117" s="1689"/>
      <c r="P2117" s="1689">
        <f t="shared" si="373"/>
        <v>0</v>
      </c>
      <c r="Q2117" s="985"/>
      <c r="R2117" s="985"/>
      <c r="S2117" s="985"/>
      <c r="T2117" s="1858">
        <f t="shared" si="376"/>
        <v>0</v>
      </c>
    </row>
    <row r="2118" spans="1:20" ht="22.2" hidden="1" customHeight="1">
      <c r="A2118" s="1444">
        <f>COUNTIF($C$12:C2118,"x")</f>
        <v>60</v>
      </c>
      <c r="B2118" s="1451" t="s">
        <v>1446</v>
      </c>
      <c r="C2118" s="966" t="str">
        <f t="shared" si="375"/>
        <v xml:space="preserve"> </v>
      </c>
      <c r="D2118" s="1411"/>
      <c r="E2118" s="976"/>
      <c r="F2118" s="988" t="str">
        <f>VLOOKUP($B2118,DG!A:D,DG!$C$2,)</f>
        <v>Đầu cosse ép Cu-Al 50mm2</v>
      </c>
      <c r="G2118" s="976" t="str">
        <f>VLOOKUP($B2118,DG!A:D,DG!$D$2,)</f>
        <v>cái</v>
      </c>
      <c r="H2118" s="1689">
        <f t="shared" si="378"/>
        <v>0</v>
      </c>
      <c r="I2118" s="1689"/>
      <c r="J2118" s="1689"/>
      <c r="K2118" s="1689"/>
      <c r="L2118" s="1689"/>
      <c r="M2118" s="1689"/>
      <c r="N2118" s="1689">
        <f t="shared" si="377"/>
        <v>0</v>
      </c>
      <c r="O2118" s="1689"/>
      <c r="P2118" s="1689">
        <f t="shared" si="373"/>
        <v>0</v>
      </c>
      <c r="Q2118" s="985"/>
      <c r="R2118" s="985"/>
      <c r="S2118" s="985"/>
      <c r="T2118" s="1858">
        <f t="shared" si="376"/>
        <v>0</v>
      </c>
    </row>
    <row r="2119" spans="1:20" ht="22.2" hidden="1" customHeight="1">
      <c r="A2119" s="1444">
        <f>COUNTIF($C$12:C2119,"x")</f>
        <v>60</v>
      </c>
      <c r="B2119" s="1451" t="s">
        <v>915</v>
      </c>
      <c r="C2119" s="966" t="str">
        <f t="shared" si="375"/>
        <v xml:space="preserve"> </v>
      </c>
      <c r="D2119" s="1411"/>
      <c r="E2119" s="976"/>
      <c r="F2119" s="988" t="str">
        <f>VLOOKUP($B2119,DG!A:D,DG!$C$2,)</f>
        <v>Đầu cosse ép Cu-Al 70mm2</v>
      </c>
      <c r="G2119" s="976" t="str">
        <f>VLOOKUP($B2119,DG!A:D,DG!$D$2,)</f>
        <v>cái</v>
      </c>
      <c r="H2119" s="1689">
        <f t="shared" si="378"/>
        <v>0</v>
      </c>
      <c r="I2119" s="1689"/>
      <c r="J2119" s="1689"/>
      <c r="K2119" s="1689"/>
      <c r="L2119" s="1689"/>
      <c r="M2119" s="1689"/>
      <c r="N2119" s="1689">
        <f t="shared" si="377"/>
        <v>0</v>
      </c>
      <c r="O2119" s="1689"/>
      <c r="P2119" s="1689">
        <f t="shared" si="373"/>
        <v>0</v>
      </c>
      <c r="Q2119" s="985"/>
      <c r="R2119" s="985"/>
      <c r="S2119" s="985"/>
      <c r="T2119" s="1858">
        <f t="shared" si="376"/>
        <v>0</v>
      </c>
    </row>
    <row r="2120" spans="1:20" ht="22.2" hidden="1" customHeight="1">
      <c r="A2120" s="1444">
        <f>COUNTIF($C$12:C2120,"x")</f>
        <v>60</v>
      </c>
      <c r="B2120" s="1451" t="s">
        <v>916</v>
      </c>
      <c r="C2120" s="966" t="str">
        <f t="shared" si="375"/>
        <v xml:space="preserve"> </v>
      </c>
      <c r="D2120" s="1411"/>
      <c r="E2120" s="976"/>
      <c r="F2120" s="988" t="str">
        <f>VLOOKUP($B2120,DG!A:D,DG!$C$2,)</f>
        <v>Boulon thau 12x50 + 2 long đền vuông D14-50x50x3/Zn</v>
      </c>
      <c r="G2120" s="976" t="str">
        <f>VLOOKUP($B2120,DG!A:D,DG!$D$2,)</f>
        <v>bộ</v>
      </c>
      <c r="H2120" s="1689">
        <f t="shared" si="378"/>
        <v>0</v>
      </c>
      <c r="I2120" s="1689"/>
      <c r="J2120" s="1689"/>
      <c r="K2120" s="1689"/>
      <c r="L2120" s="1689"/>
      <c r="M2120" s="1689"/>
      <c r="N2120" s="1689">
        <f t="shared" si="377"/>
        <v>0</v>
      </c>
      <c r="O2120" s="1689"/>
      <c r="P2120" s="1689">
        <f t="shared" si="373"/>
        <v>0</v>
      </c>
      <c r="Q2120" s="985"/>
      <c r="R2120" s="985"/>
      <c r="S2120" s="985"/>
      <c r="T2120" s="1858">
        <f t="shared" si="376"/>
        <v>0</v>
      </c>
    </row>
    <row r="2121" spans="1:20" ht="22.2" hidden="1" customHeight="1">
      <c r="A2121" s="1444">
        <f>COUNTIF($C$12:C2121,"x")</f>
        <v>60</v>
      </c>
      <c r="B2121" s="1451" t="s">
        <v>1508</v>
      </c>
      <c r="C2121" s="966" t="str">
        <f t="shared" si="375"/>
        <v xml:space="preserve"> </v>
      </c>
      <c r="D2121" s="1411"/>
      <c r="E2121" s="976"/>
      <c r="F2121" s="988" t="str">
        <f>VLOOKUP($B2121,DG!A:D,DG!$C$2,)</f>
        <v>Cọc tiếp đất Þ 16- 2,4m + kẹp cọc mạ đồng</v>
      </c>
      <c r="G2121" s="976" t="str">
        <f>VLOOKUP($B2121,DG!A:D,DG!$D$2,)</f>
        <v>bộ</v>
      </c>
      <c r="H2121" s="1689">
        <f t="shared" si="378"/>
        <v>0</v>
      </c>
      <c r="I2121" s="1689"/>
      <c r="J2121" s="1689"/>
      <c r="K2121" s="1689"/>
      <c r="L2121" s="1689"/>
      <c r="M2121" s="1689"/>
      <c r="N2121" s="1689">
        <f t="shared" si="377"/>
        <v>0</v>
      </c>
      <c r="O2121" s="1689"/>
      <c r="P2121" s="1689">
        <f t="shared" si="373"/>
        <v>0</v>
      </c>
      <c r="Q2121" s="985"/>
      <c r="R2121" s="985"/>
      <c r="S2121" s="985"/>
      <c r="T2121" s="1858">
        <f t="shared" si="376"/>
        <v>0</v>
      </c>
    </row>
    <row r="2122" spans="1:20" ht="22.2" hidden="1" customHeight="1">
      <c r="A2122" s="1444">
        <f>COUNTIF($C$12:C2122,"x")</f>
        <v>60</v>
      </c>
      <c r="B2122" s="1451" t="s">
        <v>1033</v>
      </c>
      <c r="C2122" s="966" t="str">
        <f t="shared" si="375"/>
        <v xml:space="preserve"> </v>
      </c>
      <c r="D2122" s="1411"/>
      <c r="E2122" s="976"/>
      <c r="F2122" s="988" t="str">
        <f>VLOOKUP($B2122,DG!A:D,DG!$C$2,)</f>
        <v>Cáp đồng trần M25mm2</v>
      </c>
      <c r="G2122" s="976" t="str">
        <f>VLOOKUP($B2122,DG!A:D,DG!$D$2,)</f>
        <v>kg</v>
      </c>
      <c r="H2122" s="1689">
        <f t="shared" si="378"/>
        <v>0</v>
      </c>
      <c r="I2122" s="1689"/>
      <c r="J2122" s="1689"/>
      <c r="K2122" s="1689"/>
      <c r="L2122" s="1689"/>
      <c r="M2122" s="1689"/>
      <c r="N2122" s="1689">
        <f t="shared" si="377"/>
        <v>0</v>
      </c>
      <c r="O2122" s="1689"/>
      <c r="P2122" s="1689">
        <f t="shared" si="373"/>
        <v>0</v>
      </c>
      <c r="Q2122" s="985"/>
      <c r="R2122" s="985"/>
      <c r="S2122" s="985"/>
      <c r="T2122" s="1858">
        <f t="shared" si="376"/>
        <v>0</v>
      </c>
    </row>
    <row r="2123" spans="1:20" ht="22.2" hidden="1" customHeight="1">
      <c r="A2123" s="1444">
        <f>COUNTIF($C$12:C2123,"x")</f>
        <v>60</v>
      </c>
      <c r="B2123" s="1451" t="s">
        <v>1439</v>
      </c>
      <c r="C2123" s="966" t="str">
        <f t="shared" si="375"/>
        <v xml:space="preserve"> </v>
      </c>
      <c r="D2123" s="1411">
        <f>ppht!CS341</f>
        <v>0</v>
      </c>
      <c r="E2123" s="976"/>
      <c r="F2123" s="988" t="str">
        <f>VLOOKUP($B2123,DG!A:D,DG!$C$2,)</f>
        <v>Ghíp nối IPC 50-25 1 bulong</v>
      </c>
      <c r="G2123" s="976" t="str">
        <f>VLOOKUP($B2123,DG!A:D,DG!$D$2,)</f>
        <v>cái</v>
      </c>
      <c r="H2123" s="1689">
        <f t="shared" si="378"/>
        <v>0</v>
      </c>
      <c r="I2123" s="1689"/>
      <c r="J2123" s="1689"/>
      <c r="K2123" s="1689"/>
      <c r="L2123" s="1689"/>
      <c r="M2123" s="1689"/>
      <c r="N2123" s="1689">
        <f t="shared" si="377"/>
        <v>0</v>
      </c>
      <c r="O2123" s="1689"/>
      <c r="P2123" s="1689">
        <f t="shared" si="373"/>
        <v>0</v>
      </c>
      <c r="Q2123" s="985"/>
      <c r="R2123" s="985"/>
      <c r="S2123" s="985"/>
      <c r="T2123" s="1858">
        <f t="shared" si="376"/>
        <v>0</v>
      </c>
    </row>
    <row r="2124" spans="1:20" ht="22.2" hidden="1" customHeight="1">
      <c r="A2124" s="1444">
        <f>COUNTIF($C$12:C2124,"x")</f>
        <v>60</v>
      </c>
      <c r="B2124" s="1451" t="s">
        <v>2023</v>
      </c>
      <c r="C2124" s="966" t="str">
        <f t="shared" si="375"/>
        <v xml:space="preserve"> </v>
      </c>
      <c r="D2124" s="1411">
        <f>ppht!CR341</f>
        <v>0</v>
      </c>
      <c r="E2124" s="976"/>
      <c r="F2124" s="988" t="str">
        <f>VLOOKUP($B2124,DG!A:D,DG!$C$2,)</f>
        <v>Ghíp nối IPC 50-50 1 bulong</v>
      </c>
      <c r="G2124" s="976" t="str">
        <f>VLOOKUP($B2124,DG!A:D,DG!$D$2,)</f>
        <v>cái</v>
      </c>
      <c r="H2124" s="1689">
        <f t="shared" si="378"/>
        <v>0</v>
      </c>
      <c r="I2124" s="1689"/>
      <c r="J2124" s="1689"/>
      <c r="K2124" s="1689"/>
      <c r="L2124" s="1689"/>
      <c r="M2124" s="1689"/>
      <c r="N2124" s="1689">
        <f t="shared" si="377"/>
        <v>0</v>
      </c>
      <c r="O2124" s="1689"/>
      <c r="P2124" s="1689">
        <f t="shared" si="373"/>
        <v>0</v>
      </c>
      <c r="Q2124" s="985"/>
      <c r="R2124" s="985"/>
      <c r="S2124" s="985"/>
      <c r="T2124" s="1858">
        <f t="shared" si="376"/>
        <v>0</v>
      </c>
    </row>
    <row r="2125" spans="1:20" ht="22.2" hidden="1" customHeight="1">
      <c r="A2125" s="1444">
        <f>COUNTIF($C$12:C2125,"x")</f>
        <v>60</v>
      </c>
      <c r="B2125" s="1451" t="s">
        <v>2201</v>
      </c>
      <c r="C2125" s="966" t="str">
        <f t="shared" si="375"/>
        <v xml:space="preserve"> </v>
      </c>
      <c r="D2125" s="1424">
        <f>+ppht!CU341</f>
        <v>0</v>
      </c>
      <c r="E2125" s="976"/>
      <c r="F2125" s="988" t="s">
        <v>2560</v>
      </c>
      <c r="G2125" s="976" t="str">
        <f>VLOOKUP($B2125,DG!A:D,DG!$D$2,)</f>
        <v>cái</v>
      </c>
      <c r="H2125" s="1689">
        <f t="shared" si="378"/>
        <v>0</v>
      </c>
      <c r="I2125" s="1689"/>
      <c r="J2125" s="1689"/>
      <c r="K2125" s="1689"/>
      <c r="L2125" s="1689"/>
      <c r="M2125" s="1689"/>
      <c r="N2125" s="1689">
        <f t="shared" si="377"/>
        <v>0</v>
      </c>
      <c r="O2125" s="1689"/>
      <c r="P2125" s="1689">
        <f t="shared" si="373"/>
        <v>0</v>
      </c>
      <c r="Q2125" s="985"/>
      <c r="R2125" s="985"/>
      <c r="S2125" s="985"/>
      <c r="T2125" s="1858">
        <f t="shared" si="376"/>
        <v>0</v>
      </c>
    </row>
    <row r="2126" spans="1:20" ht="22.2" hidden="1" customHeight="1">
      <c r="A2126" s="1444">
        <f>COUNTIF($C$12:C2126,"x")</f>
        <v>60</v>
      </c>
      <c r="B2126" s="1451" t="s">
        <v>1109</v>
      </c>
      <c r="C2126" s="966" t="str">
        <f t="shared" si="375"/>
        <v xml:space="preserve"> </v>
      </c>
      <c r="D2126" s="1424">
        <f>ppht!CQ337</f>
        <v>0</v>
      </c>
      <c r="E2126" s="976"/>
      <c r="F2126" s="988" t="str">
        <f>VLOOKUP($B2126,DG!A:D,DG!$C$2,)&amp;" 2 bulong"</f>
        <v>Ghíp nối IPC 70-70 2 bulong</v>
      </c>
      <c r="G2126" s="976" t="str">
        <f>VLOOKUP($B2126,DG!A:D,DG!$D$2,)</f>
        <v>cái</v>
      </c>
      <c r="H2126" s="1689">
        <f t="shared" si="378"/>
        <v>0</v>
      </c>
      <c r="I2126" s="1689"/>
      <c r="J2126" s="1689"/>
      <c r="K2126" s="1689"/>
      <c r="L2126" s="1689"/>
      <c r="M2126" s="1689"/>
      <c r="N2126" s="1689">
        <f t="shared" si="377"/>
        <v>0</v>
      </c>
      <c r="O2126" s="1689"/>
      <c r="P2126" s="1689">
        <f t="shared" si="373"/>
        <v>0</v>
      </c>
      <c r="Q2126" s="985"/>
      <c r="R2126" s="985"/>
      <c r="S2126" s="985"/>
      <c r="T2126" s="1858">
        <f t="shared" si="376"/>
        <v>0</v>
      </c>
    </row>
    <row r="2127" spans="1:20" ht="22.2" hidden="1" customHeight="1">
      <c r="A2127" s="1444">
        <f>COUNTIF($C$12:C2127,"x")</f>
        <v>60</v>
      </c>
      <c r="B2127" s="1451" t="s">
        <v>2032</v>
      </c>
      <c r="C2127" s="966" t="str">
        <f t="shared" si="375"/>
        <v xml:space="preserve"> </v>
      </c>
      <c r="D2127" s="1424">
        <f>ppht!CO337</f>
        <v>0</v>
      </c>
      <c r="E2127" s="976"/>
      <c r="F2127" s="988" t="str">
        <f>VLOOKUP($B2127,DG!A:D,DG!$C$2,)</f>
        <v>Ghíp nối IPC 95-70</v>
      </c>
      <c r="G2127" s="976" t="str">
        <f>VLOOKUP($B2127,DG!A:D,DG!$D$2,)</f>
        <v>cái</v>
      </c>
      <c r="H2127" s="1689">
        <f t="shared" si="378"/>
        <v>0</v>
      </c>
      <c r="I2127" s="1689"/>
      <c r="J2127" s="1689"/>
      <c r="K2127" s="1689"/>
      <c r="L2127" s="1689"/>
      <c r="M2127" s="1689"/>
      <c r="N2127" s="1689">
        <f t="shared" si="377"/>
        <v>0</v>
      </c>
      <c r="O2127" s="1689"/>
      <c r="P2127" s="1689">
        <f t="shared" si="373"/>
        <v>0</v>
      </c>
      <c r="Q2127" s="985"/>
      <c r="R2127" s="985"/>
      <c r="S2127" s="985"/>
      <c r="T2127" s="1858">
        <f t="shared" si="376"/>
        <v>0</v>
      </c>
    </row>
    <row r="2128" spans="1:20" ht="22.2" hidden="1" customHeight="1">
      <c r="A2128" s="1444">
        <f>COUNTIF($C$12:C2128,"x")</f>
        <v>60</v>
      </c>
      <c r="B2128" s="1451" t="s">
        <v>1345</v>
      </c>
      <c r="C2128" s="966" t="str">
        <f t="shared" si="375"/>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7"/>
        <v>0</v>
      </c>
      <c r="O2128" s="1689"/>
      <c r="P2128" s="1689">
        <f>H2128+Q2128-R2128</f>
        <v>0</v>
      </c>
      <c r="Q2128" s="985"/>
      <c r="R2128" s="985"/>
      <c r="S2128" s="985"/>
      <c r="T2128" s="1858">
        <f t="shared" si="376"/>
        <v>0</v>
      </c>
    </row>
    <row r="2129" spans="1:20" ht="22.2" hidden="1" customHeight="1">
      <c r="A2129" s="1444">
        <f>COUNTIF($C$12:C2129,"x")</f>
        <v>60</v>
      </c>
      <c r="B2129" s="1451" t="s">
        <v>1344</v>
      </c>
      <c r="C2129" s="966" t="str">
        <f t="shared" si="375"/>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7"/>
        <v>0</v>
      </c>
      <c r="O2129" s="1689"/>
      <c r="P2129" s="1689">
        <f>H2129+Q2129-R2129</f>
        <v>0</v>
      </c>
      <c r="Q2129" s="985"/>
      <c r="R2129" s="985"/>
      <c r="S2129" s="985"/>
      <c r="T2129" s="1858">
        <f t="shared" si="376"/>
        <v>0</v>
      </c>
    </row>
    <row r="2130" spans="1:20" ht="22.2" hidden="1" customHeight="1">
      <c r="A2130" s="1444">
        <f>COUNTIF($C$12:C2130,"x")</f>
        <v>60</v>
      </c>
      <c r="B2130" s="1451" t="s">
        <v>4319</v>
      </c>
      <c r="C2130" s="966" t="str">
        <f t="shared" si="375"/>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7"/>
        <v>0</v>
      </c>
      <c r="O2130" s="1689"/>
      <c r="P2130" s="1689">
        <f t="shared" si="373"/>
        <v>0</v>
      </c>
      <c r="Q2130" s="985"/>
      <c r="R2130" s="985"/>
      <c r="S2130" s="985"/>
      <c r="T2130" s="1858">
        <f t="shared" si="376"/>
        <v>0</v>
      </c>
    </row>
    <row r="2131" spans="1:20" ht="22.2" hidden="1" customHeight="1">
      <c r="A2131" s="1444">
        <f>COUNTIF($C$12:C2131,"x")</f>
        <v>60</v>
      </c>
      <c r="B2131" s="1451" t="s">
        <v>1108</v>
      </c>
      <c r="C2131" s="966" t="str">
        <f t="shared" si="375"/>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7"/>
        <v>0</v>
      </c>
      <c r="O2131" s="1689"/>
      <c r="P2131" s="1689">
        <f t="shared" si="373"/>
        <v>0</v>
      </c>
      <c r="Q2131" s="985"/>
      <c r="R2131" s="985"/>
      <c r="S2131" s="985"/>
      <c r="T2131" s="1858">
        <f t="shared" si="376"/>
        <v>0</v>
      </c>
    </row>
    <row r="2132" spans="1:20" ht="22.2" hidden="1" customHeight="1">
      <c r="A2132" s="1444">
        <f>COUNTIF($C$12:C2132,"x")</f>
        <v>60</v>
      </c>
      <c r="B2132" s="1451" t="s">
        <v>1154</v>
      </c>
      <c r="C2132" s="966" t="str">
        <f t="shared" si="375"/>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7"/>
        <v>0</v>
      </c>
      <c r="O2132" s="1689"/>
      <c r="P2132" s="1689">
        <f t="shared" si="373"/>
        <v>0</v>
      </c>
      <c r="Q2132" s="985"/>
      <c r="R2132" s="985"/>
      <c r="S2132" s="985"/>
      <c r="T2132" s="1858">
        <f t="shared" si="376"/>
        <v>0</v>
      </c>
    </row>
    <row r="2133" spans="1:20" ht="22.2" hidden="1" customHeight="1">
      <c r="A2133" s="1444">
        <f>COUNTIF($C$12:C2133,"x")</f>
        <v>60</v>
      </c>
      <c r="B2133" s="1451" t="s">
        <v>36</v>
      </c>
      <c r="C2133" s="966" t="str">
        <f t="shared" si="375"/>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7"/>
        <v>0</v>
      </c>
      <c r="O2133" s="1689"/>
      <c r="P2133" s="1689">
        <f t="shared" si="373"/>
        <v>0</v>
      </c>
      <c r="Q2133" s="985"/>
      <c r="R2133" s="985"/>
      <c r="S2133" s="985"/>
      <c r="T2133" s="1858">
        <f t="shared" si="376"/>
        <v>0</v>
      </c>
    </row>
    <row r="2134" spans="1:20" ht="22.2" hidden="1" customHeight="1">
      <c r="A2134" s="1444">
        <f>COUNTIF($C$12:C2134,"x")</f>
        <v>60</v>
      </c>
      <c r="B2134" s="1451" t="s">
        <v>2212</v>
      </c>
      <c r="C2134" s="966" t="str">
        <f t="shared" si="375"/>
        <v xml:space="preserve"> </v>
      </c>
      <c r="D2134" s="1424">
        <f>ppht!CH337</f>
        <v>0</v>
      </c>
      <c r="E2134" s="976"/>
      <c r="F2134" s="988" t="str">
        <f>VLOOKUP($B2134,DG!A:D,DG!$C$2,)</f>
        <v>Ghíp nối IPC 50-35</v>
      </c>
      <c r="G2134" s="976" t="str">
        <f>VLOOKUP($B2134,DG!A:D,DG!$D$2,)</f>
        <v>cái</v>
      </c>
      <c r="H2134" s="1689">
        <f t="shared" ref="H2134:H2165" si="380">D2134</f>
        <v>0</v>
      </c>
      <c r="I2134" s="1689"/>
      <c r="J2134" s="1689"/>
      <c r="K2134" s="1689"/>
      <c r="L2134" s="1689"/>
      <c r="M2134" s="1689"/>
      <c r="N2134" s="1689">
        <f t="shared" si="377"/>
        <v>0</v>
      </c>
      <c r="O2134" s="1689"/>
      <c r="P2134" s="1689">
        <f t="shared" si="373"/>
        <v>0</v>
      </c>
      <c r="Q2134" s="985"/>
      <c r="R2134" s="985"/>
      <c r="S2134" s="985"/>
      <c r="T2134" s="1858">
        <f t="shared" si="376"/>
        <v>0</v>
      </c>
    </row>
    <row r="2135" spans="1:20" ht="22.2" hidden="1" customHeight="1">
      <c r="A2135" s="1444">
        <f>COUNTIF($C$12:C2135,"x")</f>
        <v>60</v>
      </c>
      <c r="B2135" s="1451" t="s">
        <v>1303</v>
      </c>
      <c r="C2135" s="966" t="str">
        <f t="shared" si="375"/>
        <v xml:space="preserve"> </v>
      </c>
      <c r="D2135" s="1411"/>
      <c r="E2135" s="976"/>
      <c r="F2135" s="988" t="str">
        <f>VLOOKUP($B2135,DG!A:D,DG!$C$2,)</f>
        <v>Đầu cosse ép Cu 70mm2</v>
      </c>
      <c r="G2135" s="976" t="str">
        <f>VLOOKUP($B2135,DG!A:D,DG!$D$2,)</f>
        <v>cái</v>
      </c>
      <c r="H2135" s="1689">
        <f t="shared" si="380"/>
        <v>0</v>
      </c>
      <c r="I2135" s="1689"/>
      <c r="J2135" s="1689"/>
      <c r="K2135" s="1689"/>
      <c r="L2135" s="1689"/>
      <c r="M2135" s="1689"/>
      <c r="N2135" s="1689"/>
      <c r="O2135" s="1689"/>
      <c r="P2135" s="1689">
        <f t="shared" ref="P2135:P2201" si="381">H2135+Q2135-R2135</f>
        <v>0</v>
      </c>
      <c r="Q2135" s="990"/>
      <c r="R2135" s="990"/>
      <c r="S2135" s="990"/>
      <c r="T2135" s="1858">
        <f t="shared" si="376"/>
        <v>0</v>
      </c>
    </row>
    <row r="2136" spans="1:20" ht="22.2" hidden="1" customHeight="1">
      <c r="A2136" s="1444">
        <f>COUNTIF($C$12:C2136,"x")</f>
        <v>60</v>
      </c>
      <c r="B2136" s="1451" t="s">
        <v>4321</v>
      </c>
      <c r="C2136" s="966" t="str">
        <f t="shared" si="375"/>
        <v xml:space="preserve"> </v>
      </c>
      <c r="D2136" s="1411"/>
      <c r="E2136" s="976"/>
      <c r="F2136" s="988" t="str">
        <f>VLOOKUP($B2136,DG!A:D,DG!$C$2,)</f>
        <v>Kẹp ép WR 399</v>
      </c>
      <c r="G2136" s="976" t="str">
        <f>VLOOKUP($B2136,DG!A:D,DG!$D$2,)</f>
        <v>cái</v>
      </c>
      <c r="H2136" s="1689">
        <f t="shared" si="380"/>
        <v>0</v>
      </c>
      <c r="I2136" s="1689"/>
      <c r="J2136" s="1689"/>
      <c r="K2136" s="1689"/>
      <c r="L2136" s="1689"/>
      <c r="M2136" s="1689"/>
      <c r="N2136" s="1689"/>
      <c r="O2136" s="1689"/>
      <c r="P2136" s="1689">
        <f t="shared" si="381"/>
        <v>0</v>
      </c>
      <c r="Q2136" s="990"/>
      <c r="R2136" s="990"/>
      <c r="S2136" s="990"/>
      <c r="T2136" s="1858">
        <f t="shared" si="376"/>
        <v>0</v>
      </c>
    </row>
    <row r="2137" spans="1:20" ht="22.2" hidden="1" customHeight="1">
      <c r="A2137" s="1444">
        <f>COUNTIF($C$12:C2137,"x")</f>
        <v>60</v>
      </c>
      <c r="B2137" s="1478" t="s">
        <v>1157</v>
      </c>
      <c r="C2137" s="966" t="str">
        <f t="shared" si="375"/>
        <v xml:space="preserve"> </v>
      </c>
      <c r="D2137" s="1424">
        <f>ppht!DJ337+T2137</f>
        <v>0</v>
      </c>
      <c r="E2137" s="976"/>
      <c r="F2137" s="1293" t="str">
        <f>VLOOKUP($B2137,DG!A:D,DG!$C$2,)</f>
        <v>Hộp phân phối (hộp rỗng)</v>
      </c>
      <c r="G2137" s="976" t="str">
        <f>VLOOKUP($B2137,DG!A:D,DG!$D$2,)</f>
        <v>cái</v>
      </c>
      <c r="H2137" s="1689">
        <f t="shared" si="380"/>
        <v>0</v>
      </c>
      <c r="I2137" s="1689"/>
      <c r="J2137" s="1689"/>
      <c r="K2137" s="1689"/>
      <c r="L2137" s="1689"/>
      <c r="M2137" s="1689"/>
      <c r="N2137" s="1689">
        <f t="shared" ref="N2137:N2153" si="382">D2137</f>
        <v>0</v>
      </c>
      <c r="O2137" s="1689"/>
      <c r="P2137" s="1689">
        <f t="shared" si="381"/>
        <v>0</v>
      </c>
      <c r="Q2137" s="985"/>
      <c r="R2137" s="985"/>
      <c r="S2137" s="985"/>
      <c r="T2137" s="1858">
        <f t="shared" si="376"/>
        <v>0</v>
      </c>
    </row>
    <row r="2138" spans="1:20" ht="22.2" hidden="1" customHeight="1">
      <c r="A2138" s="1444">
        <f>COUNTIF($C$12:C2138,"x")</f>
        <v>60</v>
      </c>
      <c r="B2138" s="1451" t="s">
        <v>1406</v>
      </c>
      <c r="C2138" s="966" t="str">
        <f t="shared" si="375"/>
        <v xml:space="preserve"> </v>
      </c>
      <c r="D2138" s="1411"/>
      <c r="E2138" s="976"/>
      <c r="F2138" s="988" t="str">
        <f>VLOOKUP($B2138,DG!A:D,DG!$C$2,)</f>
        <v>Cáp đồng bọc CV25</v>
      </c>
      <c r="G2138" s="976" t="str">
        <f>VLOOKUP($B2138,DG!A:D,DG!$D$2,)</f>
        <v>mét</v>
      </c>
      <c r="H2138" s="1689">
        <f t="shared" si="380"/>
        <v>0</v>
      </c>
      <c r="I2138" s="1689"/>
      <c r="J2138" s="1689"/>
      <c r="K2138" s="1689"/>
      <c r="L2138" s="1689"/>
      <c r="M2138" s="1689"/>
      <c r="N2138" s="1689">
        <f t="shared" si="382"/>
        <v>0</v>
      </c>
      <c r="O2138" s="1689"/>
      <c r="P2138" s="1689">
        <f t="shared" si="381"/>
        <v>0</v>
      </c>
      <c r="Q2138" s="985"/>
      <c r="R2138" s="985"/>
      <c r="S2138" s="985"/>
      <c r="T2138" s="1858">
        <f t="shared" si="376"/>
        <v>0</v>
      </c>
    </row>
    <row r="2139" spans="1:20" ht="22.2" hidden="1" customHeight="1">
      <c r="A2139" s="1444">
        <f>COUNTIF($C$12:C2139,"x")</f>
        <v>60</v>
      </c>
      <c r="B2139" s="1451" t="s">
        <v>1156</v>
      </c>
      <c r="C2139" s="966" t="str">
        <f t="shared" si="375"/>
        <v xml:space="preserve"> </v>
      </c>
      <c r="D2139" s="1424">
        <f>ppht!DI337</f>
        <v>0</v>
      </c>
      <c r="E2139" s="976" t="str">
        <f>VLOOKUP($B2139,DG!A:D,DG!$B$2,)</f>
        <v>06.1201</v>
      </c>
      <c r="F2139" s="988" t="s">
        <v>2561</v>
      </c>
      <c r="G2139" s="976" t="str">
        <f>VLOOKUP($B2139,DG!A:D,DG!$D$2,)</f>
        <v>cái</v>
      </c>
      <c r="H2139" s="1689">
        <f t="shared" si="380"/>
        <v>0</v>
      </c>
      <c r="I2139" s="1689"/>
      <c r="J2139" s="1689"/>
      <c r="K2139" s="1689"/>
      <c r="L2139" s="1689"/>
      <c r="M2139" s="1689"/>
      <c r="N2139" s="1689">
        <f t="shared" si="382"/>
        <v>0</v>
      </c>
      <c r="O2139" s="1689"/>
      <c r="P2139" s="1689">
        <f t="shared" si="381"/>
        <v>0</v>
      </c>
      <c r="Q2139" s="985"/>
      <c r="R2139" s="985"/>
      <c r="S2139" s="985"/>
      <c r="T2139" s="1858">
        <f t="shared" si="376"/>
        <v>0</v>
      </c>
    </row>
    <row r="2140" spans="1:20" ht="22.2" hidden="1" customHeight="1">
      <c r="A2140" s="1444">
        <f>COUNTIF($C$12:C2140,"x")</f>
        <v>60</v>
      </c>
      <c r="B2140" s="1451" t="s">
        <v>1158</v>
      </c>
      <c r="C2140" s="966" t="str">
        <f t="shared" si="375"/>
        <v xml:space="preserve"> </v>
      </c>
      <c r="D2140" s="1424">
        <f>ppht!DA337</f>
        <v>0</v>
      </c>
      <c r="E2140" s="976"/>
      <c r="F2140" s="988" t="str">
        <f>VLOOKUP($B2140,DG!A:D,DG!$C$2,)</f>
        <v>Kẹp treo cáp ABC4x120mm2</v>
      </c>
      <c r="G2140" s="976" t="str">
        <f>VLOOKUP($B2140,DG!A:D,DG!$D$2,)</f>
        <v>cái</v>
      </c>
      <c r="H2140" s="1689">
        <f t="shared" si="380"/>
        <v>0</v>
      </c>
      <c r="I2140" s="1689"/>
      <c r="J2140" s="1689"/>
      <c r="K2140" s="1689"/>
      <c r="L2140" s="1689"/>
      <c r="M2140" s="1689"/>
      <c r="N2140" s="1689">
        <f t="shared" si="382"/>
        <v>0</v>
      </c>
      <c r="O2140" s="1689"/>
      <c r="P2140" s="1689">
        <f t="shared" si="381"/>
        <v>0</v>
      </c>
      <c r="Q2140" s="985"/>
      <c r="R2140" s="985"/>
      <c r="S2140" s="985"/>
      <c r="T2140" s="1858">
        <f t="shared" si="376"/>
        <v>0</v>
      </c>
    </row>
    <row r="2141" spans="1:20" ht="22.2" hidden="1" customHeight="1">
      <c r="A2141" s="1444">
        <f>COUNTIF($C$12:C2141,"x")</f>
        <v>60</v>
      </c>
      <c r="B2141" s="1478" t="s">
        <v>1159</v>
      </c>
      <c r="C2141" s="966" t="str">
        <f t="shared" si="375"/>
        <v xml:space="preserve"> </v>
      </c>
      <c r="D2141" s="1424">
        <f>ppht!DB337*0</f>
        <v>0</v>
      </c>
      <c r="E2141" s="976"/>
      <c r="F2141" s="988" t="str">
        <f>VLOOKUP($B2141,DG!A:D,DG!$C$2,)</f>
        <v>Kẹp treo cáp ABC4x95mm2</v>
      </c>
      <c r="G2141" s="976" t="str">
        <f>VLOOKUP($B2141,DG!A:D,DG!$D$2,)</f>
        <v>cái</v>
      </c>
      <c r="H2141" s="1689">
        <f t="shared" si="380"/>
        <v>0</v>
      </c>
      <c r="I2141" s="1689"/>
      <c r="J2141" s="1689"/>
      <c r="K2141" s="1689"/>
      <c r="L2141" s="1689"/>
      <c r="M2141" s="1689"/>
      <c r="N2141" s="1689">
        <f t="shared" si="382"/>
        <v>0</v>
      </c>
      <c r="O2141" s="1689"/>
      <c r="P2141" s="1689">
        <f t="shared" si="381"/>
        <v>0</v>
      </c>
      <c r="Q2141" s="985"/>
      <c r="R2141" s="985"/>
      <c r="S2141" s="985"/>
      <c r="T2141" s="1858">
        <f t="shared" si="376"/>
        <v>0</v>
      </c>
    </row>
    <row r="2142" spans="1:20" ht="22.2" hidden="1" customHeight="1">
      <c r="A2142" s="1444">
        <f>COUNTIF($C$12:C2142,"x")</f>
        <v>60</v>
      </c>
      <c r="B2142" s="1451" t="s">
        <v>1692</v>
      </c>
      <c r="C2142" s="966" t="str">
        <f t="shared" si="375"/>
        <v xml:space="preserve"> </v>
      </c>
      <c r="D2142" s="1424">
        <f>ppht!DC337</f>
        <v>0</v>
      </c>
      <c r="E2142" s="976" t="str">
        <f>VLOOKUP($B2142,DG!A:D,DG!$B$2,)</f>
        <v>06.1201</v>
      </c>
      <c r="F2142" s="988" t="str">
        <f>VLOOKUP($B2142,DG!A:D,DG!$C$2,)</f>
        <v>Kẹp treo cáp ABC4x70mm2</v>
      </c>
      <c r="G2142" s="976" t="str">
        <f>VLOOKUP($B2142,DG!A:D,DG!$D$2,)</f>
        <v>cái</v>
      </c>
      <c r="H2142" s="1689">
        <f t="shared" si="380"/>
        <v>0</v>
      </c>
      <c r="I2142" s="1689"/>
      <c r="J2142" s="1689"/>
      <c r="K2142" s="1689"/>
      <c r="L2142" s="1689"/>
      <c r="M2142" s="1689"/>
      <c r="N2142" s="1689">
        <f t="shared" si="382"/>
        <v>0</v>
      </c>
      <c r="O2142" s="1689"/>
      <c r="P2142" s="1689">
        <f t="shared" si="381"/>
        <v>0</v>
      </c>
      <c r="Q2142" s="985"/>
      <c r="R2142" s="985"/>
      <c r="S2142" s="985"/>
      <c r="T2142" s="1858">
        <f t="shared" si="376"/>
        <v>0</v>
      </c>
    </row>
    <row r="2143" spans="1:20" ht="22.2" hidden="1" customHeight="1">
      <c r="A2143" s="1444">
        <f>COUNTIF($C$12:C2143,"x")</f>
        <v>60</v>
      </c>
      <c r="B2143" s="1451" t="s">
        <v>1693</v>
      </c>
      <c r="C2143" s="966" t="str">
        <f t="shared" si="375"/>
        <v xml:space="preserve"> </v>
      </c>
      <c r="D2143" s="1424">
        <f>ppht!DD337</f>
        <v>0</v>
      </c>
      <c r="E2143" s="976"/>
      <c r="F2143" s="988" t="str">
        <f>VLOOKUP($B2143,DG!A:D,DG!$C$2,)</f>
        <v>Kẹp treo cáp ABC4x50mm2</v>
      </c>
      <c r="G2143" s="976" t="str">
        <f>VLOOKUP($B2143,DG!A:D,DG!$D$2,)</f>
        <v>cái</v>
      </c>
      <c r="H2143" s="1689">
        <f t="shared" si="380"/>
        <v>0</v>
      </c>
      <c r="I2143" s="1689"/>
      <c r="J2143" s="1689"/>
      <c r="K2143" s="1689"/>
      <c r="L2143" s="1689"/>
      <c r="M2143" s="1689"/>
      <c r="N2143" s="1689">
        <f t="shared" si="382"/>
        <v>0</v>
      </c>
      <c r="O2143" s="1689"/>
      <c r="P2143" s="1689">
        <f t="shared" si="381"/>
        <v>0</v>
      </c>
      <c r="Q2143" s="985"/>
      <c r="R2143" s="985"/>
      <c r="S2143" s="985"/>
      <c r="T2143" s="1858">
        <f t="shared" si="376"/>
        <v>0</v>
      </c>
    </row>
    <row r="2144" spans="1:20" ht="22.2" hidden="1" customHeight="1">
      <c r="A2144" s="1444">
        <f>COUNTIF($C$12:C2144,"x")</f>
        <v>60</v>
      </c>
      <c r="B2144" s="1478" t="s">
        <v>1734</v>
      </c>
      <c r="C2144" s="966" t="str">
        <f t="shared" si="375"/>
        <v xml:space="preserve"> </v>
      </c>
      <c r="D2144" s="1411">
        <f>ppht!DO337</f>
        <v>0</v>
      </c>
      <c r="E2144" s="976"/>
      <c r="F2144" s="988" t="str">
        <f>VLOOKUP($B2144,DG!A:D,DG!$C$2,)</f>
        <v>Móc treo chữ A</v>
      </c>
      <c r="G2144" s="976" t="str">
        <f>VLOOKUP($B2144,DG!A:D,DG!$D$2,)</f>
        <v>cái</v>
      </c>
      <c r="H2144" s="1689">
        <f t="shared" si="380"/>
        <v>0</v>
      </c>
      <c r="I2144" s="1689"/>
      <c r="J2144" s="1689"/>
      <c r="K2144" s="1689"/>
      <c r="L2144" s="1689"/>
      <c r="M2144" s="1689"/>
      <c r="N2144" s="1689">
        <f t="shared" si="382"/>
        <v>0</v>
      </c>
      <c r="O2144" s="1689"/>
      <c r="P2144" s="1689">
        <f t="shared" si="381"/>
        <v>0</v>
      </c>
      <c r="Q2144" s="985"/>
      <c r="R2144" s="985"/>
      <c r="S2144" s="985"/>
      <c r="T2144" s="1858">
        <f t="shared" si="376"/>
        <v>0</v>
      </c>
    </row>
    <row r="2145" spans="1:20" ht="22.2" hidden="1" customHeight="1">
      <c r="A2145" s="1444">
        <f>COUNTIF($C$12:C2145,"x")</f>
        <v>60</v>
      </c>
      <c r="B2145" s="1451" t="s">
        <v>2219</v>
      </c>
      <c r="C2145" s="966" t="str">
        <f t="shared" si="375"/>
        <v xml:space="preserve"> </v>
      </c>
      <c r="D2145" s="1411">
        <f>ppht!DE337</f>
        <v>0</v>
      </c>
      <c r="E2145" s="976"/>
      <c r="F2145" s="988" t="str">
        <f>VLOOKUP($B2145,DG!A:D,DG!$C$2,)</f>
        <v>Kẹp ngừng cáp ABC4x150mm2</v>
      </c>
      <c r="G2145" s="976" t="str">
        <f>VLOOKUP($B2145,DG!A:D,DG!$D$2,)</f>
        <v>cái</v>
      </c>
      <c r="H2145" s="1689">
        <f t="shared" si="380"/>
        <v>0</v>
      </c>
      <c r="I2145" s="1689"/>
      <c r="J2145" s="1689"/>
      <c r="K2145" s="1689"/>
      <c r="L2145" s="1689"/>
      <c r="M2145" s="1689"/>
      <c r="N2145" s="1689">
        <f t="shared" si="382"/>
        <v>0</v>
      </c>
      <c r="O2145" s="1689"/>
      <c r="P2145" s="1689">
        <f t="shared" si="381"/>
        <v>0</v>
      </c>
      <c r="Q2145" s="985"/>
      <c r="R2145" s="985"/>
      <c r="S2145" s="985"/>
      <c r="T2145" s="1858">
        <f t="shared" si="376"/>
        <v>0</v>
      </c>
    </row>
    <row r="2146" spans="1:20" ht="22.2" hidden="1" customHeight="1">
      <c r="A2146" s="1444">
        <f>COUNTIF($C$12:C2146,"x")</f>
        <v>60</v>
      </c>
      <c r="B2146" s="1478" t="s">
        <v>1429</v>
      </c>
      <c r="C2146" s="966" t="str">
        <f t="shared" si="375"/>
        <v xml:space="preserve"> </v>
      </c>
      <c r="D2146" s="1411">
        <f>ppht!DF337</f>
        <v>0</v>
      </c>
      <c r="E2146" s="976"/>
      <c r="F2146" s="988" t="str">
        <f>VLOOKUP($B2146,DG!A:D,DG!$C$2,)</f>
        <v>Kẹp ngừng cáp ABC4x95mm2</v>
      </c>
      <c r="G2146" s="976" t="str">
        <f>VLOOKUP($B2146,DG!A:D,DG!$D$2,)</f>
        <v>cái</v>
      </c>
      <c r="H2146" s="1689">
        <f t="shared" si="380"/>
        <v>0</v>
      </c>
      <c r="I2146" s="1689"/>
      <c r="J2146" s="1689"/>
      <c r="K2146" s="1689"/>
      <c r="L2146" s="1689"/>
      <c r="M2146" s="1689"/>
      <c r="N2146" s="1689">
        <f t="shared" si="382"/>
        <v>0</v>
      </c>
      <c r="O2146" s="1689"/>
      <c r="P2146" s="1689">
        <f t="shared" si="381"/>
        <v>0</v>
      </c>
      <c r="Q2146" s="985"/>
      <c r="R2146" s="985"/>
      <c r="S2146" s="985"/>
      <c r="T2146" s="1858">
        <f t="shared" si="376"/>
        <v>0</v>
      </c>
    </row>
    <row r="2147" spans="1:20" ht="22.2" hidden="1" customHeight="1">
      <c r="A2147" s="1444">
        <f>COUNTIF($C$12:C2147,"x")</f>
        <v>60</v>
      </c>
      <c r="B2147" s="1451" t="s">
        <v>2258</v>
      </c>
      <c r="C2147" s="966" t="str">
        <f t="shared" si="375"/>
        <v xml:space="preserve"> </v>
      </c>
      <c r="D2147" s="1411">
        <f>ppht!DG337</f>
        <v>0</v>
      </c>
      <c r="E2147" s="976" t="str">
        <f>VLOOKUP($B2147,DG!A:D,DG!$B$2,)</f>
        <v>06.1201</v>
      </c>
      <c r="F2147" s="988" t="str">
        <f>VLOOKUP($B2147,DG!A:D,DG!$C$2,)</f>
        <v>Kẹp ngừng cáp ABC4x70mm2</v>
      </c>
      <c r="G2147" s="976" t="str">
        <f>VLOOKUP($B2147,DG!A:D,DG!$D$2,)</f>
        <v>cái</v>
      </c>
      <c r="H2147" s="1689">
        <f t="shared" si="380"/>
        <v>0</v>
      </c>
      <c r="I2147" s="1689"/>
      <c r="J2147" s="1689"/>
      <c r="K2147" s="1689"/>
      <c r="L2147" s="1689"/>
      <c r="M2147" s="1689"/>
      <c r="N2147" s="1689">
        <f t="shared" si="382"/>
        <v>0</v>
      </c>
      <c r="O2147" s="1689"/>
      <c r="P2147" s="1689">
        <f t="shared" si="381"/>
        <v>0</v>
      </c>
      <c r="Q2147" s="985"/>
      <c r="R2147" s="985"/>
      <c r="S2147" s="985"/>
      <c r="T2147" s="1858">
        <f t="shared" si="376"/>
        <v>0</v>
      </c>
    </row>
    <row r="2148" spans="1:20" ht="22.2" hidden="1" customHeight="1">
      <c r="A2148" s="1444">
        <f>COUNTIF($C$12:C2148,"x")</f>
        <v>60</v>
      </c>
      <c r="B2148" s="1451" t="s">
        <v>313</v>
      </c>
      <c r="C2148" s="966" t="str">
        <f t="shared" si="375"/>
        <v xml:space="preserve"> </v>
      </c>
      <c r="D2148" s="1411">
        <f>ppht!DH337</f>
        <v>0</v>
      </c>
      <c r="E2148" s="976"/>
      <c r="F2148" s="988" t="str">
        <f>VLOOKUP($B2148,DG!A:D,DG!$C$2,)</f>
        <v>Kẹp ngừng cáp ABC4x50mm2</v>
      </c>
      <c r="G2148" s="976" t="str">
        <f>VLOOKUP($B2148,DG!A:D,DG!$D$2,)</f>
        <v>cái</v>
      </c>
      <c r="H2148" s="1689">
        <f t="shared" si="380"/>
        <v>0</v>
      </c>
      <c r="I2148" s="1689"/>
      <c r="J2148" s="1689"/>
      <c r="K2148" s="1689"/>
      <c r="L2148" s="1689"/>
      <c r="M2148" s="1689"/>
      <c r="N2148" s="1689">
        <f t="shared" si="382"/>
        <v>0</v>
      </c>
      <c r="O2148" s="1689"/>
      <c r="P2148" s="1689">
        <f t="shared" si="381"/>
        <v>0</v>
      </c>
      <c r="Q2148" s="985"/>
      <c r="R2148" s="985"/>
      <c r="S2148" s="985"/>
      <c r="T2148" s="1858">
        <f t="shared" si="376"/>
        <v>0</v>
      </c>
    </row>
    <row r="2149" spans="1:20" ht="22.2" hidden="1" customHeight="1">
      <c r="A2149" s="1444">
        <f>COUNTIF($C$12:C2149,"x")</f>
        <v>60</v>
      </c>
      <c r="B2149" s="1451" t="s">
        <v>2220</v>
      </c>
      <c r="C2149" s="966" t="str">
        <f t="shared" si="375"/>
        <v xml:space="preserve"> </v>
      </c>
      <c r="D2149" s="1411">
        <f>ppht!CV337</f>
        <v>0</v>
      </c>
      <c r="E2149" s="976"/>
      <c r="F2149" s="988" t="str">
        <f>VLOOKUP($B2149,DG!A:D,DG!$C$2,)</f>
        <v>Nắp bịt đầu cáp ABC150mm2</v>
      </c>
      <c r="G2149" s="976" t="str">
        <f>VLOOKUP($B2149,DG!A:D,DG!$D$2,)</f>
        <v>cái</v>
      </c>
      <c r="H2149" s="1689">
        <f t="shared" si="380"/>
        <v>0</v>
      </c>
      <c r="I2149" s="1689"/>
      <c r="J2149" s="1689"/>
      <c r="K2149" s="1689"/>
      <c r="L2149" s="1689"/>
      <c r="M2149" s="1689"/>
      <c r="N2149" s="1689">
        <f t="shared" si="382"/>
        <v>0</v>
      </c>
      <c r="O2149" s="1689"/>
      <c r="P2149" s="1689">
        <f t="shared" si="381"/>
        <v>0</v>
      </c>
      <c r="Q2149" s="985"/>
      <c r="R2149" s="985"/>
      <c r="S2149" s="985"/>
      <c r="T2149" s="1858">
        <f t="shared" ref="T2149:T2212" si="383">IFERROR(HLOOKUP(B2149,BangKeTru,3,0),0)</f>
        <v>0</v>
      </c>
    </row>
    <row r="2150" spans="1:20" ht="22.2" hidden="1" customHeight="1">
      <c r="A2150" s="1444">
        <f>COUNTIF($C$12:C2150,"x")</f>
        <v>60</v>
      </c>
      <c r="B2150" s="1451" t="s">
        <v>858</v>
      </c>
      <c r="C2150" s="966" t="str">
        <f t="shared" si="375"/>
        <v xml:space="preserve"> </v>
      </c>
      <c r="D2150" s="1411">
        <f>ppht!CW337</f>
        <v>0</v>
      </c>
      <c r="E2150" s="976"/>
      <c r="F2150" s="988" t="str">
        <f>VLOOKUP($B2150,DG!A:D,DG!$C$2,)</f>
        <v>Nắp bịt đầu cáp ABC95mm2</v>
      </c>
      <c r="G2150" s="976" t="str">
        <f>VLOOKUP($B2150,DG!A:D,DG!$D$2,)</f>
        <v>cái</v>
      </c>
      <c r="H2150" s="1689">
        <f t="shared" si="380"/>
        <v>0</v>
      </c>
      <c r="I2150" s="1689"/>
      <c r="J2150" s="1689"/>
      <c r="K2150" s="1689"/>
      <c r="L2150" s="1689"/>
      <c r="M2150" s="1689"/>
      <c r="N2150" s="1689">
        <f t="shared" si="382"/>
        <v>0</v>
      </c>
      <c r="O2150" s="1689"/>
      <c r="P2150" s="1689">
        <f t="shared" si="381"/>
        <v>0</v>
      </c>
      <c r="Q2150" s="985"/>
      <c r="R2150" s="985"/>
      <c r="S2150" s="985"/>
      <c r="T2150" s="1858">
        <f t="shared" si="383"/>
        <v>0</v>
      </c>
    </row>
    <row r="2151" spans="1:20" ht="22.2" hidden="1" customHeight="1">
      <c r="A2151" s="1444">
        <f>COUNTIF($C$12:C2151,"x")</f>
        <v>60</v>
      </c>
      <c r="B2151" s="1451" t="s">
        <v>859</v>
      </c>
      <c r="C2151" s="966" t="str">
        <f t="shared" si="375"/>
        <v xml:space="preserve"> </v>
      </c>
      <c r="D2151" s="1411">
        <f>ppht!CX337</f>
        <v>0</v>
      </c>
      <c r="E2151" s="976"/>
      <c r="F2151" s="988" t="str">
        <f>VLOOKUP($B2151,DG!A:D,DG!$C$2,)</f>
        <v>Nắp bịt đầu cáp ABC70mm2</v>
      </c>
      <c r="G2151" s="976" t="str">
        <f>VLOOKUP($B2151,DG!A:D,DG!$D$2,)</f>
        <v>cái</v>
      </c>
      <c r="H2151" s="1689">
        <f t="shared" si="380"/>
        <v>0</v>
      </c>
      <c r="I2151" s="1689"/>
      <c r="J2151" s="1689"/>
      <c r="K2151" s="1689"/>
      <c r="L2151" s="1689"/>
      <c r="M2151" s="1689"/>
      <c r="N2151" s="1689">
        <f t="shared" si="382"/>
        <v>0</v>
      </c>
      <c r="O2151" s="1689"/>
      <c r="P2151" s="1689">
        <f t="shared" si="381"/>
        <v>0</v>
      </c>
      <c r="Q2151" s="985"/>
      <c r="R2151" s="985"/>
      <c r="S2151" s="985"/>
      <c r="T2151" s="1858">
        <f t="shared" si="383"/>
        <v>0</v>
      </c>
    </row>
    <row r="2152" spans="1:20" ht="22.2" hidden="1" customHeight="1">
      <c r="A2152" s="1444">
        <f>COUNTIF($C$12:C2152,"x")</f>
        <v>60</v>
      </c>
      <c r="B2152" s="1451" t="s">
        <v>860</v>
      </c>
      <c r="C2152" s="966" t="str">
        <f t="shared" si="375"/>
        <v xml:space="preserve"> </v>
      </c>
      <c r="D2152" s="1411">
        <f>ppht!CZ341</f>
        <v>0</v>
      </c>
      <c r="E2152" s="976"/>
      <c r="F2152" s="988" t="str">
        <f>VLOOKUP($B2152,DG!A:D,DG!$C$2,)</f>
        <v>Nắp bịt đầu cáp ABC50mm2</v>
      </c>
      <c r="G2152" s="976" t="str">
        <f>VLOOKUP($B2152,DG!A:D,DG!$D$2,)</f>
        <v>cái</v>
      </c>
      <c r="H2152" s="1689">
        <f t="shared" si="380"/>
        <v>0</v>
      </c>
      <c r="I2152" s="1689"/>
      <c r="J2152" s="1689"/>
      <c r="K2152" s="1689"/>
      <c r="L2152" s="1689"/>
      <c r="M2152" s="1689"/>
      <c r="N2152" s="1689">
        <f t="shared" si="382"/>
        <v>0</v>
      </c>
      <c r="O2152" s="1689"/>
      <c r="P2152" s="1689">
        <f t="shared" si="381"/>
        <v>0</v>
      </c>
      <c r="Q2152" s="985"/>
      <c r="R2152" s="985"/>
      <c r="S2152" s="985"/>
      <c r="T2152" s="1858">
        <f t="shared" si="383"/>
        <v>0</v>
      </c>
    </row>
    <row r="2153" spans="1:20" ht="22.2" hidden="1" customHeight="1">
      <c r="A2153" s="1444">
        <f>COUNTIF($C$12:C2153,"x")</f>
        <v>60</v>
      </c>
      <c r="B2153" s="1451" t="s">
        <v>4289</v>
      </c>
      <c r="C2153" s="966" t="str">
        <f t="shared" si="375"/>
        <v xml:space="preserve"> </v>
      </c>
      <c r="D2153" s="1411">
        <f>+ppht!CY341</f>
        <v>0</v>
      </c>
      <c r="E2153" s="976"/>
      <c r="F2153" s="988" t="str">
        <f>VLOOKUP($B2153,DG!A:D,DG!$C$2,)</f>
        <v>Nắp bịt đầu cáp 35mm2</v>
      </c>
      <c r="G2153" s="976" t="str">
        <f>VLOOKUP($B2153,DG!A:D,DG!$D$2,)</f>
        <v>cái</v>
      </c>
      <c r="H2153" s="1689">
        <f t="shared" si="380"/>
        <v>0</v>
      </c>
      <c r="I2153" s="1689"/>
      <c r="J2153" s="1689"/>
      <c r="K2153" s="1689"/>
      <c r="L2153" s="1689"/>
      <c r="M2153" s="1689"/>
      <c r="N2153" s="1689">
        <f t="shared" si="382"/>
        <v>0</v>
      </c>
      <c r="O2153" s="1689"/>
      <c r="P2153" s="1689">
        <f t="shared" si="381"/>
        <v>0</v>
      </c>
      <c r="Q2153" s="985"/>
      <c r="R2153" s="985"/>
      <c r="S2153" s="985"/>
      <c r="T2153" s="1858">
        <f t="shared" si="383"/>
        <v>0</v>
      </c>
    </row>
    <row r="2154" spans="1:20" ht="22.2" hidden="1" customHeight="1">
      <c r="A2154" s="1444">
        <f>COUNTIF($C$12:C2154,"x")</f>
        <v>60</v>
      </c>
      <c r="B2154" s="1462" t="s">
        <v>905</v>
      </c>
      <c r="C2154" s="966" t="str">
        <f t="shared" si="375"/>
        <v xml:space="preserve"> </v>
      </c>
      <c r="D2154" s="1411"/>
      <c r="E2154" s="976"/>
      <c r="F2154" s="988" t="str">
        <f>VLOOKUP($B2154,DG!A:D,DG!$C$2,)</f>
        <v>Kẹp ép WR cỡ dây 50mm2</v>
      </c>
      <c r="G2154" s="976" t="str">
        <f>VLOOKUP($B2154,DG!A:D,DG!$D$2,)</f>
        <v>cái</v>
      </c>
      <c r="H2154" s="1689">
        <f t="shared" si="380"/>
        <v>0</v>
      </c>
      <c r="I2154" s="1689"/>
      <c r="J2154" s="1689"/>
      <c r="K2154" s="1689"/>
      <c r="L2154" s="1689"/>
      <c r="M2154" s="1689"/>
      <c r="N2154" s="1689"/>
      <c r="O2154" s="1689"/>
      <c r="P2154" s="1689">
        <f t="shared" si="381"/>
        <v>0</v>
      </c>
      <c r="Q2154" s="990"/>
      <c r="R2154" s="990"/>
      <c r="S2154" s="990"/>
      <c r="T2154" s="1858">
        <f t="shared" si="383"/>
        <v>0</v>
      </c>
    </row>
    <row r="2155" spans="1:20" ht="22.2" hidden="1" customHeight="1">
      <c r="A2155" s="1444">
        <f>COUNTIF($C$12:C2155,"x")</f>
        <v>60</v>
      </c>
      <c r="B2155" s="1479" t="s">
        <v>4288</v>
      </c>
      <c r="C2155" s="966" t="str">
        <f t="shared" si="375"/>
        <v xml:space="preserve"> </v>
      </c>
      <c r="D2155" s="1411"/>
      <c r="E2155" s="976"/>
      <c r="F2155" s="1293" t="str">
        <f>VLOOKUP($B2155,DG!A:D,DG!$C$2,)</f>
        <v>Bộ tiếp địa cố định cáp ABC</v>
      </c>
      <c r="G2155" s="976" t="str">
        <f>VLOOKUP($B2155,DG!A:D,DG!$D$2,)</f>
        <v>bộ</v>
      </c>
      <c r="H2155" s="1689">
        <f t="shared" si="380"/>
        <v>0</v>
      </c>
      <c r="I2155" s="1689"/>
      <c r="J2155" s="1689"/>
      <c r="K2155" s="1689"/>
      <c r="L2155" s="1689"/>
      <c r="M2155" s="1689"/>
      <c r="N2155" s="1689"/>
      <c r="O2155" s="1689"/>
      <c r="P2155" s="1689">
        <f t="shared" si="381"/>
        <v>0</v>
      </c>
      <c r="Q2155" s="985"/>
      <c r="R2155" s="985"/>
      <c r="S2155" s="985"/>
      <c r="T2155" s="1858">
        <f t="shared" si="383"/>
        <v>0</v>
      </c>
    </row>
    <row r="2156" spans="1:20" ht="22.2" hidden="1" customHeight="1">
      <c r="A2156" s="1444">
        <f>COUNTIF($C$12:C2156,"x")</f>
        <v>60</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80"/>
        <v>0</v>
      </c>
      <c r="I2156" s="1689"/>
      <c r="J2156" s="1689"/>
      <c r="K2156" s="1689"/>
      <c r="L2156" s="1689"/>
      <c r="M2156" s="1689"/>
      <c r="N2156" s="1689"/>
      <c r="O2156" s="1689"/>
      <c r="P2156" s="1689">
        <f>H2156+Q2156-R2156</f>
        <v>0</v>
      </c>
      <c r="Q2156" s="985"/>
      <c r="R2156" s="985"/>
      <c r="S2156" s="985"/>
      <c r="T2156" s="1858">
        <f t="shared" si="383"/>
        <v>0</v>
      </c>
    </row>
    <row r="2157" spans="1:20" ht="22.2" hidden="1" customHeight="1">
      <c r="A2157" s="1444">
        <f>COUNTIF($C$12:C2157,"x")</f>
        <v>60</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80"/>
        <v>0</v>
      </c>
      <c r="I2157" s="1689"/>
      <c r="J2157" s="1689"/>
      <c r="K2157" s="1689"/>
      <c r="L2157" s="1689"/>
      <c r="M2157" s="1689"/>
      <c r="N2157" s="1689"/>
      <c r="O2157" s="1689"/>
      <c r="P2157" s="1689">
        <f>H2157+Q2157-R2157</f>
        <v>0</v>
      </c>
      <c r="Q2157" s="985"/>
      <c r="R2157" s="985"/>
      <c r="S2157" s="985"/>
      <c r="T2157" s="1858">
        <f t="shared" si="383"/>
        <v>0</v>
      </c>
    </row>
    <row r="2158" spans="1:20" ht="22.2" hidden="1" customHeight="1">
      <c r="A2158" s="1444">
        <f>COUNTIF($C$12:C2158,"x")</f>
        <v>60</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80"/>
        <v>0</v>
      </c>
      <c r="I2158" s="1689"/>
      <c r="J2158" s="1689"/>
      <c r="K2158" s="1689"/>
      <c r="L2158" s="1689"/>
      <c r="M2158" s="1689"/>
      <c r="N2158" s="1689"/>
      <c r="O2158" s="1689"/>
      <c r="P2158" s="1689">
        <f>H2158+Q2158-R2158</f>
        <v>0</v>
      </c>
      <c r="Q2158" s="985"/>
      <c r="R2158" s="985"/>
      <c r="S2158" s="985"/>
      <c r="T2158" s="1858">
        <f t="shared" si="383"/>
        <v>0</v>
      </c>
    </row>
    <row r="2159" spans="1:20" ht="22.2" hidden="1" customHeight="1">
      <c r="A2159" s="1444">
        <f>COUNTIF($C$12:C2159,"x")</f>
        <v>60</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80"/>
        <v>0</v>
      </c>
      <c r="I2159" s="1689"/>
      <c r="J2159" s="1689"/>
      <c r="K2159" s="1689"/>
      <c r="L2159" s="1689"/>
      <c r="M2159" s="1689"/>
      <c r="N2159" s="1689">
        <f t="shared" ref="N2159:N2185" si="384">D2159</f>
        <v>0</v>
      </c>
      <c r="O2159" s="1689"/>
      <c r="P2159" s="1689">
        <f>H2159+Q2159-R2159</f>
        <v>0</v>
      </c>
      <c r="Q2159" s="985"/>
      <c r="R2159" s="985"/>
      <c r="S2159" s="985"/>
      <c r="T2159" s="1858">
        <f t="shared" si="383"/>
        <v>0</v>
      </c>
    </row>
    <row r="2160" spans="1:20" ht="22.2" hidden="1" customHeight="1">
      <c r="A2160" s="1444">
        <f>COUNTIF($C$12:C2160,"x")</f>
        <v>60</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80"/>
        <v>0</v>
      </c>
      <c r="I2160" s="1689"/>
      <c r="J2160" s="1689"/>
      <c r="K2160" s="1689"/>
      <c r="L2160" s="1689"/>
      <c r="M2160" s="1689"/>
      <c r="N2160" s="1689">
        <f t="shared" si="384"/>
        <v>0</v>
      </c>
      <c r="O2160" s="1689"/>
      <c r="P2160" s="1689">
        <f>H2160+Q2160-R2160</f>
        <v>0</v>
      </c>
      <c r="Q2160" s="985"/>
      <c r="R2160" s="985"/>
      <c r="S2160" s="985"/>
      <c r="T2160" s="1858">
        <f t="shared" si="383"/>
        <v>0</v>
      </c>
    </row>
    <row r="2161" spans="1:20" ht="22.2" hidden="1" customHeight="1">
      <c r="A2161" s="1444">
        <f>COUNTIF($C$12:C2161,"x")</f>
        <v>60</v>
      </c>
      <c r="B2161" s="1451" t="s">
        <v>1491</v>
      </c>
      <c r="C2161" s="966" t="str">
        <f t="shared" si="375"/>
        <v xml:space="preserve"> </v>
      </c>
      <c r="D2161" s="1424">
        <f>ppht!BY337</f>
        <v>0</v>
      </c>
      <c r="E2161" s="976"/>
      <c r="F2161" s="988" t="str">
        <f>VLOOKUP($B2161,DG!A:D,DG!$C$2,)</f>
        <v>Rack 2 sứ + sứ ống chỉ</v>
      </c>
      <c r="G2161" s="976" t="str">
        <f>VLOOKUP($B2161,DG!A:D,DG!$D$2,)</f>
        <v>bộ</v>
      </c>
      <c r="H2161" s="1689">
        <f t="shared" si="380"/>
        <v>0</v>
      </c>
      <c r="I2161" s="1689"/>
      <c r="J2161" s="1689"/>
      <c r="K2161" s="1689"/>
      <c r="L2161" s="1689"/>
      <c r="M2161" s="1689"/>
      <c r="N2161" s="1689">
        <f t="shared" si="384"/>
        <v>0</v>
      </c>
      <c r="O2161" s="1689"/>
      <c r="P2161" s="1689">
        <f t="shared" si="381"/>
        <v>0</v>
      </c>
      <c r="Q2161" s="985"/>
      <c r="R2161" s="985"/>
      <c r="S2161" s="985"/>
      <c r="T2161" s="1858">
        <f t="shared" si="383"/>
        <v>0</v>
      </c>
    </row>
    <row r="2162" spans="1:20" ht="22.2" hidden="1" customHeight="1">
      <c r="A2162" s="1444">
        <f>COUNTIF($C$12:C2162,"x")</f>
        <v>60</v>
      </c>
      <c r="B2162" s="1451" t="s">
        <v>278</v>
      </c>
      <c r="C2162" s="966" t="str">
        <f t="shared" si="375"/>
        <v xml:space="preserve"> </v>
      </c>
      <c r="D2162" s="1424">
        <f>ppht!BZ337</f>
        <v>0</v>
      </c>
      <c r="E2162" s="976"/>
      <c r="F2162" s="988" t="str">
        <f>VLOOKUP($B2162,DG!A:D,DG!$C$2,)</f>
        <v>Rack 3 sứ + sứ ống chỉ</v>
      </c>
      <c r="G2162" s="976" t="str">
        <f>VLOOKUP($B2162,DG!A:D,DG!$D$2,)</f>
        <v>bộ</v>
      </c>
      <c r="H2162" s="1689">
        <f t="shared" si="380"/>
        <v>0</v>
      </c>
      <c r="I2162" s="1689"/>
      <c r="J2162" s="1689"/>
      <c r="K2162" s="1689"/>
      <c r="L2162" s="1689"/>
      <c r="M2162" s="1689"/>
      <c r="N2162" s="1689">
        <f t="shared" si="384"/>
        <v>0</v>
      </c>
      <c r="O2162" s="1689"/>
      <c r="P2162" s="1689">
        <f t="shared" si="381"/>
        <v>0</v>
      </c>
      <c r="Q2162" s="985"/>
      <c r="R2162" s="985"/>
      <c r="S2162" s="985"/>
      <c r="T2162" s="1858">
        <f t="shared" si="383"/>
        <v>0</v>
      </c>
    </row>
    <row r="2163" spans="1:20" ht="22.2" hidden="1" customHeight="1">
      <c r="A2163" s="1444">
        <f>COUNTIF($C$12:C2163,"x")</f>
        <v>60</v>
      </c>
      <c r="B2163" s="1451" t="s">
        <v>1450</v>
      </c>
      <c r="C2163" s="966" t="str">
        <f t="shared" si="375"/>
        <v xml:space="preserve"> </v>
      </c>
      <c r="D2163" s="1424">
        <f>ppht!CA337</f>
        <v>0</v>
      </c>
      <c r="E2163" s="976"/>
      <c r="F2163" s="988" t="str">
        <f>VLOOKUP($B2163,DG!A:D,DG!$C$2,)</f>
        <v>Rack 4 sứ + sứ ống chỉ</v>
      </c>
      <c r="G2163" s="976" t="str">
        <f>VLOOKUP($B2163,DG!A:D,DG!$D$2,)</f>
        <v>bộ</v>
      </c>
      <c r="H2163" s="1689">
        <f t="shared" si="380"/>
        <v>0</v>
      </c>
      <c r="I2163" s="1689"/>
      <c r="J2163" s="1689"/>
      <c r="K2163" s="1689"/>
      <c r="L2163" s="1689"/>
      <c r="M2163" s="1689"/>
      <c r="N2163" s="1689">
        <f t="shared" si="384"/>
        <v>0</v>
      </c>
      <c r="O2163" s="1689"/>
      <c r="P2163" s="1689">
        <f t="shared" si="381"/>
        <v>0</v>
      </c>
      <c r="Q2163" s="985"/>
      <c r="R2163" s="985"/>
      <c r="S2163" s="985"/>
      <c r="T2163" s="1858">
        <f t="shared" si="383"/>
        <v>0</v>
      </c>
    </row>
    <row r="2164" spans="1:20" ht="22.2" hidden="1" customHeight="1">
      <c r="A2164" s="1444">
        <f>COUNTIF($C$12:C2164,"x")</f>
        <v>60</v>
      </c>
      <c r="B2164" s="1451" t="s">
        <v>917</v>
      </c>
      <c r="C2164" s="966" t="str">
        <f t="shared" si="375"/>
        <v xml:space="preserve"> </v>
      </c>
      <c r="D2164" s="1427"/>
      <c r="E2164" s="976" t="str">
        <f>VLOOKUP($B2164,DG!A:D,DG!$B$2,)</f>
        <v>05.1101</v>
      </c>
      <c r="F2164" s="1275" t="str">
        <f>VLOOKUP($B2164,DG!A:D,DG!$C$2,)</f>
        <v>Tủ phân phối hạ thế</v>
      </c>
      <c r="G2164" s="976" t="str">
        <f>VLOOKUP($B2164,DG!A:D,DG!$D$2,)</f>
        <v>cái</v>
      </c>
      <c r="H2164" s="1689">
        <f t="shared" si="380"/>
        <v>0</v>
      </c>
      <c r="I2164" s="1689"/>
      <c r="J2164" s="1689"/>
      <c r="K2164" s="1689"/>
      <c r="L2164" s="1689"/>
      <c r="M2164" s="1689"/>
      <c r="N2164" s="1689">
        <f t="shared" si="384"/>
        <v>0</v>
      </c>
      <c r="O2164" s="1689"/>
      <c r="P2164" s="1689">
        <f t="shared" si="381"/>
        <v>0</v>
      </c>
      <c r="Q2164" s="985"/>
      <c r="R2164" s="985"/>
      <c r="S2164" s="985"/>
      <c r="T2164" s="1858">
        <f t="shared" si="383"/>
        <v>0</v>
      </c>
    </row>
    <row r="2165" spans="1:20" ht="22.2" hidden="1" customHeight="1">
      <c r="A2165" s="1444">
        <f>COUNTIF($C$12:C2165,"x")</f>
        <v>60</v>
      </c>
      <c r="B2165" s="1451" t="s">
        <v>2009</v>
      </c>
      <c r="C2165" s="966" t="str">
        <f t="shared" si="375"/>
        <v xml:space="preserve"> </v>
      </c>
      <c r="D2165" s="1427"/>
      <c r="E2165" s="976" t="str">
        <f>VLOOKUP($B2165,DG!A:D,DG!$B$2,)</f>
        <v>07.2404</v>
      </c>
      <c r="F2165" s="1275" t="str">
        <f>VLOOKUP($B2165,DG!A:D,DG!$C$2,)&amp;": 6m/tuû"</f>
        <v>Ống PVC D60x2,8mm: 6m/tuû</v>
      </c>
      <c r="G2165" s="976" t="str">
        <f>VLOOKUP($B2165,DG!A:D,DG!$D$2,)</f>
        <v>m</v>
      </c>
      <c r="H2165" s="1689">
        <f t="shared" si="380"/>
        <v>0</v>
      </c>
      <c r="I2165" s="1689"/>
      <c r="J2165" s="1689"/>
      <c r="K2165" s="1689"/>
      <c r="L2165" s="1689"/>
      <c r="M2165" s="1689"/>
      <c r="N2165" s="1689">
        <f t="shared" si="384"/>
        <v>0</v>
      </c>
      <c r="O2165" s="1689"/>
      <c r="P2165" s="1689">
        <f t="shared" si="381"/>
        <v>0</v>
      </c>
      <c r="Q2165" s="985"/>
      <c r="R2165" s="985"/>
      <c r="S2165" s="985"/>
      <c r="T2165" s="1858">
        <f t="shared" si="383"/>
        <v>0</v>
      </c>
    </row>
    <row r="2166" spans="1:20" ht="22.2" hidden="1" customHeight="1">
      <c r="A2166" s="1444">
        <f>COUNTIF($C$12:C2166,"x")</f>
        <v>60</v>
      </c>
      <c r="B2166" s="1451" t="s">
        <v>1991</v>
      </c>
      <c r="C2166" s="966" t="str">
        <f t="shared" si="375"/>
        <v xml:space="preserve"> </v>
      </c>
      <c r="D2166" s="1427"/>
      <c r="E2166" s="976" t="str">
        <f>VLOOKUP($B2166,DG!A:D,DG!$B$2,)</f>
        <v>06.3231</v>
      </c>
      <c r="F2166" s="1275" t="str">
        <f>VLOOKUP($B2166,DG!A:D,DG!$C$2,)</f>
        <v>Cổ dê kẹp ống PVC Ø 60</v>
      </c>
      <c r="G2166" s="976" t="str">
        <f>VLOOKUP($B2166,DG!A:D,DG!$D$2,)</f>
        <v>bộ</v>
      </c>
      <c r="H2166" s="1689">
        <f t="shared" ref="H2166:H2187" si="385">D2166</f>
        <v>0</v>
      </c>
      <c r="I2166" s="1689"/>
      <c r="J2166" s="1689"/>
      <c r="K2166" s="1689"/>
      <c r="L2166" s="1689"/>
      <c r="M2166" s="1689"/>
      <c r="N2166" s="1689">
        <f t="shared" si="384"/>
        <v>0</v>
      </c>
      <c r="O2166" s="1689"/>
      <c r="P2166" s="1689">
        <f t="shared" si="381"/>
        <v>0</v>
      </c>
      <c r="Q2166" s="985"/>
      <c r="R2166" s="985"/>
      <c r="S2166" s="985"/>
      <c r="T2166" s="1858">
        <f t="shared" si="383"/>
        <v>0</v>
      </c>
    </row>
    <row r="2167" spans="1:20" ht="22.2" hidden="1" customHeight="1">
      <c r="A2167" s="1444">
        <f>COUNTIF($C$12:C2167,"x")</f>
        <v>60</v>
      </c>
      <c r="B2167" s="1451" t="s">
        <v>1105</v>
      </c>
      <c r="C2167" s="966" t="str">
        <f t="shared" ref="C2167:C2228" si="386">IF(OR(P2167&lt;&gt;0,H2167&lt;&gt;0),"x"," ")</f>
        <v xml:space="preserve"> </v>
      </c>
      <c r="D2167" s="1427"/>
      <c r="E2167" s="976"/>
      <c r="F2167" s="1275" t="str">
        <f>VLOOKUP($B2167,DG!A:D,DG!$C$2,)&amp;": 3 caùi / tuû"</f>
        <v>Co 90 độ PVC 60: 3 caùi / tuû</v>
      </c>
      <c r="G2167" s="976" t="str">
        <f>VLOOKUP($B2167,DG!A:D,DG!$D$2,)</f>
        <v>cái</v>
      </c>
      <c r="H2167" s="1689">
        <f t="shared" si="385"/>
        <v>0</v>
      </c>
      <c r="I2167" s="1689"/>
      <c r="J2167" s="1689"/>
      <c r="K2167" s="1689"/>
      <c r="L2167" s="1689"/>
      <c r="M2167" s="1689"/>
      <c r="N2167" s="1689">
        <f t="shared" si="384"/>
        <v>0</v>
      </c>
      <c r="O2167" s="1689"/>
      <c r="P2167" s="1689">
        <f t="shared" si="381"/>
        <v>0</v>
      </c>
      <c r="Q2167" s="985"/>
      <c r="R2167" s="985"/>
      <c r="S2167" s="985"/>
      <c r="T2167" s="1858">
        <f t="shared" si="383"/>
        <v>0</v>
      </c>
    </row>
    <row r="2168" spans="1:20" ht="22.2" hidden="1" customHeight="1">
      <c r="A2168" s="1444">
        <f>COUNTIF($C$12:C2168,"x")</f>
        <v>60</v>
      </c>
      <c r="B2168" s="1451" t="s">
        <v>1616</v>
      </c>
      <c r="C2168" s="966" t="str">
        <f t="shared" si="386"/>
        <v xml:space="preserve"> </v>
      </c>
      <c r="D2168" s="1427"/>
      <c r="E2168" s="976"/>
      <c r="F2168" s="1275" t="str">
        <f>VLOOKUP($B2168,DG!A:D,DG!$C$2,)&amp;": 6 caùi / tuû"</f>
        <v>Co 90 độ PVC 42: 6 caùi / tuû</v>
      </c>
      <c r="G2168" s="976" t="str">
        <f>VLOOKUP($B2168,DG!A:D,DG!$D$2,)</f>
        <v>cái</v>
      </c>
      <c r="H2168" s="1689">
        <f t="shared" si="385"/>
        <v>0</v>
      </c>
      <c r="I2168" s="1689"/>
      <c r="J2168" s="1689"/>
      <c r="K2168" s="1689"/>
      <c r="L2168" s="1689"/>
      <c r="M2168" s="1689"/>
      <c r="N2168" s="1689">
        <f t="shared" si="384"/>
        <v>0</v>
      </c>
      <c r="O2168" s="1689"/>
      <c r="P2168" s="1689">
        <f t="shared" si="381"/>
        <v>0</v>
      </c>
      <c r="Q2168" s="985"/>
      <c r="R2168" s="985"/>
      <c r="S2168" s="985"/>
      <c r="T2168" s="1858">
        <f t="shared" si="383"/>
        <v>0</v>
      </c>
    </row>
    <row r="2169" spans="1:20" ht="22.2" hidden="1" customHeight="1">
      <c r="A2169" s="1444">
        <f>COUNTIF($C$12:C2169,"x")</f>
        <v>60</v>
      </c>
      <c r="B2169" s="1451" t="s">
        <v>2221</v>
      </c>
      <c r="C2169" s="966" t="str">
        <f t="shared" si="386"/>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5"/>
        <v>0</v>
      </c>
      <c r="I2169" s="1689"/>
      <c r="J2169" s="1689"/>
      <c r="K2169" s="1689"/>
      <c r="L2169" s="1689"/>
      <c r="M2169" s="1689"/>
      <c r="N2169" s="1689">
        <f t="shared" si="384"/>
        <v>0</v>
      </c>
      <c r="O2169" s="1689"/>
      <c r="P2169" s="1689">
        <f t="shared" si="381"/>
        <v>0</v>
      </c>
      <c r="Q2169" s="985"/>
      <c r="R2169" s="985"/>
      <c r="S2169" s="985"/>
      <c r="T2169" s="1858">
        <f t="shared" si="383"/>
        <v>0</v>
      </c>
    </row>
    <row r="2170" spans="1:20" ht="22.2" hidden="1" customHeight="1">
      <c r="A2170" s="1444">
        <f>COUNTIF($C$12:C2170,"x")</f>
        <v>60</v>
      </c>
      <c r="B2170" s="1451" t="s">
        <v>584</v>
      </c>
      <c r="C2170" s="966" t="str">
        <f t="shared" si="386"/>
        <v xml:space="preserve"> </v>
      </c>
      <c r="D2170" s="1430"/>
      <c r="E2170" s="976">
        <f>VLOOKUP($B2170,DG!A:D,DG!$B$2,)</f>
        <v>0</v>
      </c>
      <c r="F2170" s="1276" t="str">
        <f>VLOOKUP($B2170,DG!A:D,DG!$C$2,)</f>
        <v xml:space="preserve">Ống PVC D114x4,9mm </v>
      </c>
      <c r="G2170" s="976" t="str">
        <f>VLOOKUP($B2170,DG!A:D,DG!$D$2,)</f>
        <v>m</v>
      </c>
      <c r="H2170" s="1689">
        <f t="shared" si="385"/>
        <v>0</v>
      </c>
      <c r="I2170" s="1689"/>
      <c r="J2170" s="1689"/>
      <c r="K2170" s="1689"/>
      <c r="L2170" s="1689"/>
      <c r="M2170" s="1689"/>
      <c r="N2170" s="1689">
        <f t="shared" si="384"/>
        <v>0</v>
      </c>
      <c r="O2170" s="1689"/>
      <c r="P2170" s="1689">
        <f t="shared" si="381"/>
        <v>0</v>
      </c>
      <c r="Q2170" s="985"/>
      <c r="R2170" s="985"/>
      <c r="S2170" s="985"/>
      <c r="T2170" s="1858">
        <f t="shared" si="383"/>
        <v>0</v>
      </c>
    </row>
    <row r="2171" spans="1:20" ht="22.2" hidden="1" customHeight="1">
      <c r="A2171" s="1444">
        <f>COUNTIF($C$12:C2171,"x")</f>
        <v>60</v>
      </c>
      <c r="B2171" s="1451" t="s">
        <v>1346</v>
      </c>
      <c r="C2171" s="966" t="str">
        <f t="shared" si="386"/>
        <v xml:space="preserve"> </v>
      </c>
      <c r="D2171" s="1430"/>
      <c r="E2171" s="976">
        <f>VLOOKUP($B2171,DG!A:D,DG!$B$2,)</f>
        <v>0</v>
      </c>
      <c r="F2171" s="1276" t="str">
        <f>VLOOKUP($B2171,DG!A:D,DG!$C$2,)</f>
        <v>Co  90 độ PVC 114</v>
      </c>
      <c r="G2171" s="976" t="str">
        <f>VLOOKUP($B2171,DG!A:D,DG!$D$2,)</f>
        <v>cái</v>
      </c>
      <c r="H2171" s="1689">
        <f t="shared" si="385"/>
        <v>0</v>
      </c>
      <c r="I2171" s="1689"/>
      <c r="J2171" s="1689"/>
      <c r="K2171" s="1689"/>
      <c r="L2171" s="1689"/>
      <c r="M2171" s="1689"/>
      <c r="N2171" s="1689">
        <f t="shared" si="384"/>
        <v>0</v>
      </c>
      <c r="O2171" s="1689"/>
      <c r="P2171" s="1689">
        <f t="shared" si="381"/>
        <v>0</v>
      </c>
      <c r="Q2171" s="985"/>
      <c r="R2171" s="985"/>
      <c r="S2171" s="985"/>
      <c r="T2171" s="1858">
        <f t="shared" si="383"/>
        <v>0</v>
      </c>
    </row>
    <row r="2172" spans="1:20" ht="22.2" hidden="1" customHeight="1">
      <c r="A2172" s="1444">
        <f>COUNTIF($C$12:C2172,"x")</f>
        <v>60</v>
      </c>
      <c r="B2172" s="1451" t="s">
        <v>731</v>
      </c>
      <c r="C2172" s="966" t="str">
        <f t="shared" si="386"/>
        <v xml:space="preserve"> </v>
      </c>
      <c r="D2172" s="1430"/>
      <c r="E2172" s="976" t="str">
        <f>VLOOKUP($B2172,DG!A:D,DG!$B$2,)</f>
        <v>06.3231</v>
      </c>
      <c r="F2172" s="1276" t="str">
        <f>VLOOKUP($B2172,DG!A:D,DG!$C$2,)</f>
        <v>Cổ dê kẹp ống PVC Ø 114</v>
      </c>
      <c r="G2172" s="976" t="str">
        <f>VLOOKUP($B2172,DG!A:D,DG!$D$2,)</f>
        <v>bộ</v>
      </c>
      <c r="H2172" s="1689">
        <f t="shared" si="385"/>
        <v>0</v>
      </c>
      <c r="I2172" s="1689"/>
      <c r="J2172" s="1689"/>
      <c r="K2172" s="1689"/>
      <c r="L2172" s="1689"/>
      <c r="M2172" s="1689"/>
      <c r="N2172" s="1689">
        <f t="shared" si="384"/>
        <v>0</v>
      </c>
      <c r="O2172" s="1689"/>
      <c r="P2172" s="1689">
        <f t="shared" si="381"/>
        <v>0</v>
      </c>
      <c r="Q2172" s="985"/>
      <c r="R2172" s="985"/>
      <c r="S2172" s="985"/>
      <c r="T2172" s="1858">
        <f t="shared" si="383"/>
        <v>0</v>
      </c>
    </row>
    <row r="2173" spans="1:20" ht="22.2" hidden="1" customHeight="1">
      <c r="A2173" s="1444">
        <f>COUNTIF($C$12:C2173,"x")</f>
        <v>60</v>
      </c>
      <c r="B2173" s="1451" t="s">
        <v>1786</v>
      </c>
      <c r="C2173" s="966" t="str">
        <f t="shared" si="386"/>
        <v xml:space="preserve"> </v>
      </c>
      <c r="D2173" s="1424"/>
      <c r="E2173" s="976"/>
      <c r="F2173" s="988" t="str">
        <f>VLOOKUP($B2173,DG!A:D,DG!$C$2,)</f>
        <v>Boulon 16x50+ 2 long đền vuông D18-50x50x3/Zn</v>
      </c>
      <c r="G2173" s="976" t="str">
        <f>VLOOKUP($B2173,DG!A:D,DG!$D$2,)</f>
        <v>bộ</v>
      </c>
      <c r="H2173" s="1689">
        <f t="shared" si="385"/>
        <v>0</v>
      </c>
      <c r="I2173" s="1689"/>
      <c r="J2173" s="1689"/>
      <c r="K2173" s="1689"/>
      <c r="L2173" s="1689"/>
      <c r="M2173" s="1689"/>
      <c r="N2173" s="1689">
        <f t="shared" si="384"/>
        <v>0</v>
      </c>
      <c r="O2173" s="1689"/>
      <c r="P2173" s="1689">
        <f t="shared" si="381"/>
        <v>0</v>
      </c>
      <c r="Q2173" s="985"/>
      <c r="R2173" s="985"/>
      <c r="S2173" s="985"/>
      <c r="T2173" s="1858">
        <f t="shared" si="383"/>
        <v>0</v>
      </c>
    </row>
    <row r="2174" spans="1:20" ht="22.2" hidden="1" customHeight="1">
      <c r="A2174" s="1444">
        <f>COUNTIF($C$12:C2174,"x")</f>
        <v>60</v>
      </c>
      <c r="B2174" s="1451" t="s">
        <v>1609</v>
      </c>
      <c r="C2174" s="966" t="str">
        <f t="shared" si="386"/>
        <v xml:space="preserve"> </v>
      </c>
      <c r="D2174" s="1424">
        <f>ppht!CB337</f>
        <v>0</v>
      </c>
      <c r="E2174" s="976"/>
      <c r="F2174" s="988" t="str">
        <f>VLOOKUP($B2174,DG!A:D,DG!$C$2,)</f>
        <v>Boulon 16x250+ 2 long đền vuông D18-50x50x3/Zn</v>
      </c>
      <c r="G2174" s="976" t="str">
        <f>VLOOKUP($B2174,DG!A:D,DG!$D$2,)</f>
        <v>bộ</v>
      </c>
      <c r="H2174" s="1689">
        <f t="shared" si="385"/>
        <v>0</v>
      </c>
      <c r="I2174" s="1689"/>
      <c r="J2174" s="1689"/>
      <c r="K2174" s="1689"/>
      <c r="L2174" s="1689"/>
      <c r="M2174" s="1689"/>
      <c r="N2174" s="1689">
        <f t="shared" si="384"/>
        <v>0</v>
      </c>
      <c r="O2174" s="1689"/>
      <c r="P2174" s="1689">
        <f t="shared" si="381"/>
        <v>0</v>
      </c>
      <c r="Q2174" s="985"/>
      <c r="R2174" s="985"/>
      <c r="S2174" s="985"/>
      <c r="T2174" s="1858">
        <f t="shared" si="383"/>
        <v>0</v>
      </c>
    </row>
    <row r="2175" spans="1:20" ht="22.2" hidden="1" customHeight="1">
      <c r="A2175" s="1444">
        <f>COUNTIF($C$12:C2175,"x")</f>
        <v>60</v>
      </c>
      <c r="B2175" s="1451" t="s">
        <v>1610</v>
      </c>
      <c r="C2175" s="966" t="str">
        <f t="shared" si="386"/>
        <v xml:space="preserve"> </v>
      </c>
      <c r="D2175" s="1424">
        <f>ppht!CC337</f>
        <v>0</v>
      </c>
      <c r="E2175" s="976"/>
      <c r="F2175" s="988" t="str">
        <f>VLOOKUP($B2175,DG!A:D,DG!$C$2,)</f>
        <v>Boulon 16x300+ 2 long đền vuông D18-50x50x3/Zn</v>
      </c>
      <c r="G2175" s="976" t="str">
        <f>VLOOKUP($B2175,DG!A:D,DG!$D$2,)</f>
        <v>bộ</v>
      </c>
      <c r="H2175" s="1689">
        <f t="shared" si="385"/>
        <v>0</v>
      </c>
      <c r="I2175" s="1689"/>
      <c r="J2175" s="1689"/>
      <c r="K2175" s="1689"/>
      <c r="L2175" s="1689"/>
      <c r="M2175" s="1689"/>
      <c r="N2175" s="1689">
        <f t="shared" si="384"/>
        <v>0</v>
      </c>
      <c r="O2175" s="1689"/>
      <c r="P2175" s="1689">
        <f t="shared" si="381"/>
        <v>0</v>
      </c>
      <c r="Q2175" s="985"/>
      <c r="R2175" s="985"/>
      <c r="S2175" s="985"/>
      <c r="T2175" s="1858">
        <f t="shared" si="383"/>
        <v>0</v>
      </c>
    </row>
    <row r="2176" spans="1:20" ht="22.2" hidden="1" customHeight="1">
      <c r="A2176" s="1444">
        <f>COUNTIF($C$12:C2176,"x")</f>
        <v>60</v>
      </c>
      <c r="B2176" s="1451" t="s">
        <v>1079</v>
      </c>
      <c r="C2176" s="966" t="str">
        <f t="shared" si="386"/>
        <v xml:space="preserve"> </v>
      </c>
      <c r="D2176" s="1424">
        <f>ppht!CD337</f>
        <v>0</v>
      </c>
      <c r="E2176" s="976"/>
      <c r="F2176" s="988" t="str">
        <f>VLOOKUP($B2176,DG!A:D,DG!$C$2,)</f>
        <v>Boulon 16x350+ 2 long đền vuông D18-50x50x3/Zn</v>
      </c>
      <c r="G2176" s="976" t="str">
        <f>VLOOKUP($B2176,DG!A:D,DG!$D$2,)</f>
        <v>bộ</v>
      </c>
      <c r="H2176" s="1689">
        <f t="shared" si="385"/>
        <v>0</v>
      </c>
      <c r="I2176" s="1689"/>
      <c r="J2176" s="1689"/>
      <c r="K2176" s="1689"/>
      <c r="L2176" s="1689"/>
      <c r="M2176" s="1689"/>
      <c r="N2176" s="1689">
        <f t="shared" si="384"/>
        <v>0</v>
      </c>
      <c r="O2176" s="1689"/>
      <c r="P2176" s="1689">
        <f t="shared" si="381"/>
        <v>0</v>
      </c>
      <c r="Q2176" s="985"/>
      <c r="R2176" s="985"/>
      <c r="S2176" s="985"/>
      <c r="T2176" s="1858">
        <f t="shared" si="383"/>
        <v>0</v>
      </c>
    </row>
    <row r="2177" spans="1:20" ht="22.2" hidden="1" customHeight="1">
      <c r="A2177" s="1444">
        <f>COUNTIF($C$12:C2177,"x")</f>
        <v>60</v>
      </c>
      <c r="B2177" s="1451" t="s">
        <v>828</v>
      </c>
      <c r="C2177" s="966" t="str">
        <f t="shared" si="386"/>
        <v xml:space="preserve"> </v>
      </c>
      <c r="D2177" s="1424">
        <f>ppht!CE337</f>
        <v>0</v>
      </c>
      <c r="E2177" s="976"/>
      <c r="F2177" s="988" t="str">
        <f>VLOOKUP($B2177,DG!A:D,DG!$C$2,)</f>
        <v>Boulon móc 16x250+ long đền vuông D18-50x50x3/Zn</v>
      </c>
      <c r="G2177" s="976" t="str">
        <f>VLOOKUP($B2177,DG!A:D,DG!$D$2,)</f>
        <v>bộ</v>
      </c>
      <c r="H2177" s="1689">
        <f t="shared" si="385"/>
        <v>0</v>
      </c>
      <c r="I2177" s="1689"/>
      <c r="J2177" s="1689"/>
      <c r="K2177" s="1689"/>
      <c r="L2177" s="1689"/>
      <c r="M2177" s="1689"/>
      <c r="N2177" s="1689">
        <f t="shared" si="384"/>
        <v>0</v>
      </c>
      <c r="O2177" s="1689"/>
      <c r="P2177" s="1689">
        <f t="shared" si="381"/>
        <v>0</v>
      </c>
      <c r="Q2177" s="985"/>
      <c r="R2177" s="985"/>
      <c r="S2177" s="985"/>
      <c r="T2177" s="1858">
        <f t="shared" si="383"/>
        <v>0</v>
      </c>
    </row>
    <row r="2178" spans="1:20" ht="22.2" hidden="1" customHeight="1">
      <c r="A2178" s="1444">
        <f>COUNTIF($C$12:C2178,"x")</f>
        <v>60</v>
      </c>
      <c r="B2178" s="1451" t="s">
        <v>829</v>
      </c>
      <c r="C2178" s="966" t="str">
        <f t="shared" si="386"/>
        <v xml:space="preserve"> </v>
      </c>
      <c r="D2178" s="1424">
        <f>ppht!CF337</f>
        <v>0</v>
      </c>
      <c r="E2178" s="976"/>
      <c r="F2178" s="988" t="str">
        <f>VLOOKUP($B2178,DG!A:D,DG!$C$2,)</f>
        <v>Boulon móc 16x300+ long đền vuông D18-50x50x3/Zn</v>
      </c>
      <c r="G2178" s="976" t="str">
        <f>VLOOKUP($B2178,DG!A:D,DG!$D$2,)</f>
        <v>bộ</v>
      </c>
      <c r="H2178" s="1689">
        <f t="shared" si="385"/>
        <v>0</v>
      </c>
      <c r="I2178" s="1689"/>
      <c r="J2178" s="1689"/>
      <c r="K2178" s="1689"/>
      <c r="L2178" s="1689"/>
      <c r="M2178" s="1689"/>
      <c r="N2178" s="1689">
        <f t="shared" si="384"/>
        <v>0</v>
      </c>
      <c r="O2178" s="1689"/>
      <c r="P2178" s="1689">
        <f t="shared" si="381"/>
        <v>0</v>
      </c>
      <c r="Q2178" s="985"/>
      <c r="R2178" s="985"/>
      <c r="S2178" s="985"/>
      <c r="T2178" s="1858">
        <f t="shared" si="383"/>
        <v>0</v>
      </c>
    </row>
    <row r="2179" spans="1:20" ht="22.2" hidden="1" customHeight="1">
      <c r="A2179" s="1444">
        <f>COUNTIF($C$12:C2179,"x")</f>
        <v>60</v>
      </c>
      <c r="B2179" s="1451" t="s">
        <v>1168</v>
      </c>
      <c r="C2179" s="966" t="str">
        <f t="shared" si="386"/>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5"/>
        <v>0</v>
      </c>
      <c r="I2179" s="1689"/>
      <c r="J2179" s="1689"/>
      <c r="K2179" s="1689"/>
      <c r="L2179" s="1689"/>
      <c r="M2179" s="1689"/>
      <c r="N2179" s="1689">
        <f t="shared" si="384"/>
        <v>0</v>
      </c>
      <c r="O2179" s="1689"/>
      <c r="P2179" s="1689">
        <f t="shared" si="381"/>
        <v>0</v>
      </c>
      <c r="Q2179" s="985"/>
      <c r="R2179" s="985"/>
      <c r="S2179" s="985"/>
      <c r="T2179" s="1858">
        <f t="shared" si="383"/>
        <v>0</v>
      </c>
    </row>
    <row r="2180" spans="1:20" ht="22.2" hidden="1" customHeight="1">
      <c r="A2180" s="1444">
        <f>COUNTIF($C$12:C2180,"x")</f>
        <v>60</v>
      </c>
      <c r="B2180" s="1451" t="s">
        <v>2200</v>
      </c>
      <c r="C2180" s="966" t="str">
        <f t="shared" si="386"/>
        <v xml:space="preserve"> </v>
      </c>
      <c r="D2180" s="1424">
        <f>ppht!DL337</f>
        <v>0</v>
      </c>
      <c r="E2180" s="976"/>
      <c r="F2180" s="988" t="str">
        <f>VLOOKUP($B2180,DG!A:D,DG!$C$2,)&amp;" (Coå deâ 310)"</f>
        <v>Cổ dê trụ đôi 8,4m bắt móc dừng  (Coå deâ 310)</v>
      </c>
      <c r="G2180" s="976" t="str">
        <f>VLOOKUP($B2180,DG!A:D,DG!$D$2,)</f>
        <v>bộ</v>
      </c>
      <c r="H2180" s="1689">
        <f t="shared" si="385"/>
        <v>0</v>
      </c>
      <c r="I2180" s="1689"/>
      <c r="J2180" s="1689"/>
      <c r="K2180" s="1689"/>
      <c r="L2180" s="1689"/>
      <c r="M2180" s="1689"/>
      <c r="N2180" s="1689">
        <f t="shared" si="384"/>
        <v>0</v>
      </c>
      <c r="O2180" s="1689"/>
      <c r="P2180" s="1689">
        <f t="shared" si="381"/>
        <v>0</v>
      </c>
      <c r="Q2180" s="985"/>
      <c r="R2180" s="985"/>
      <c r="S2180" s="985"/>
      <c r="T2180" s="1858">
        <f t="shared" si="383"/>
        <v>0</v>
      </c>
    </row>
    <row r="2181" spans="1:20" ht="22.2" hidden="1" customHeight="1">
      <c r="A2181" s="1444">
        <f>COUNTIF($C$12:C2181,"x")</f>
        <v>60</v>
      </c>
      <c r="B2181" s="1451" t="s">
        <v>1023</v>
      </c>
      <c r="C2181" s="966" t="str">
        <f t="shared" si="386"/>
        <v xml:space="preserve"> </v>
      </c>
      <c r="D2181" s="1424">
        <f>ppht!BF337</f>
        <v>0</v>
      </c>
      <c r="E2181" s="976"/>
      <c r="F2181" s="988" t="str">
        <f>VLOOKUP($B2181,DG!A:D,DG!$C$2,)</f>
        <v>Cáp thép 3/8"</v>
      </c>
      <c r="G2181" s="976" t="str">
        <f>VLOOKUP($B2181,DG!A:D,DG!$D$2,)</f>
        <v>kg</v>
      </c>
      <c r="H2181" s="1689">
        <f t="shared" si="385"/>
        <v>0</v>
      </c>
      <c r="I2181" s="1689"/>
      <c r="J2181" s="1689"/>
      <c r="K2181" s="1689"/>
      <c r="L2181" s="1689"/>
      <c r="M2181" s="1689"/>
      <c r="N2181" s="1689">
        <f t="shared" si="384"/>
        <v>0</v>
      </c>
      <c r="O2181" s="1689"/>
      <c r="P2181" s="1689">
        <f t="shared" si="381"/>
        <v>0</v>
      </c>
      <c r="Q2181" s="985"/>
      <c r="R2181" s="985"/>
      <c r="S2181" s="985"/>
      <c r="T2181" s="1858">
        <f t="shared" si="383"/>
        <v>0</v>
      </c>
    </row>
    <row r="2182" spans="1:20" ht="22.2" hidden="1" customHeight="1">
      <c r="A2182" s="1444">
        <f>COUNTIF($C$12:C2182,"x")</f>
        <v>60</v>
      </c>
      <c r="B2182" s="1451" t="s">
        <v>1487</v>
      </c>
      <c r="C2182" s="966" t="str">
        <f t="shared" si="386"/>
        <v xml:space="preserve"> </v>
      </c>
      <c r="D2182" s="1411">
        <f>ROUND(D2107/2000+D2108/0.195/1500,0)</f>
        <v>0</v>
      </c>
      <c r="E2182" s="976"/>
      <c r="F2182" s="988" t="str">
        <f>VLOOKUP($B2182,DG!A:D,DG!$C$2,)</f>
        <v>Ống nối dây cỡ 50mm2</v>
      </c>
      <c r="G2182" s="976" t="str">
        <f>VLOOKUP($B2182,DG!A:D,DG!$D$2,)</f>
        <v>cái</v>
      </c>
      <c r="H2182" s="1689">
        <f t="shared" si="385"/>
        <v>0</v>
      </c>
      <c r="I2182" s="1689"/>
      <c r="J2182" s="1689"/>
      <c r="K2182" s="1689"/>
      <c r="L2182" s="1689"/>
      <c r="M2182" s="1689"/>
      <c r="N2182" s="1689">
        <f t="shared" si="384"/>
        <v>0</v>
      </c>
      <c r="O2182" s="1689"/>
      <c r="P2182" s="1689">
        <f t="shared" si="381"/>
        <v>0</v>
      </c>
      <c r="Q2182" s="985"/>
      <c r="R2182" s="985"/>
      <c r="S2182" s="985"/>
      <c r="T2182" s="1858">
        <f t="shared" si="383"/>
        <v>0</v>
      </c>
    </row>
    <row r="2183" spans="1:20" ht="22.2" hidden="1" customHeight="1">
      <c r="A2183" s="1444">
        <f>COUNTIF($C$12:C2183,"x")</f>
        <v>60</v>
      </c>
      <c r="B2183" s="1451" t="s">
        <v>1488</v>
      </c>
      <c r="C2183" s="966" t="str">
        <f t="shared" si="386"/>
        <v xml:space="preserve"> </v>
      </c>
      <c r="D2183" s="1411">
        <f>ROUND(D2106/2000,0)</f>
        <v>0</v>
      </c>
      <c r="E2183" s="976"/>
      <c r="F2183" s="988" t="str">
        <f>VLOOKUP($B2183,DG!A:D,DG!$C$2,)</f>
        <v>Ống nối dây cỡ 70mm2</v>
      </c>
      <c r="G2183" s="976" t="str">
        <f>VLOOKUP($B2183,DG!A:D,DG!$D$2,)</f>
        <v>cái</v>
      </c>
      <c r="H2183" s="1689">
        <f t="shared" si="385"/>
        <v>0</v>
      </c>
      <c r="I2183" s="1689"/>
      <c r="J2183" s="1689"/>
      <c r="K2183" s="1689"/>
      <c r="L2183" s="1689"/>
      <c r="M2183" s="1689"/>
      <c r="N2183" s="1689">
        <f t="shared" si="384"/>
        <v>0</v>
      </c>
      <c r="O2183" s="1689"/>
      <c r="P2183" s="1689">
        <f t="shared" si="381"/>
        <v>0</v>
      </c>
      <c r="Q2183" s="985"/>
      <c r="R2183" s="985"/>
      <c r="S2183" s="985"/>
      <c r="T2183" s="1858">
        <f t="shared" si="383"/>
        <v>0</v>
      </c>
    </row>
    <row r="2184" spans="1:20" ht="22.2" hidden="1" customHeight="1">
      <c r="A2184" s="1444">
        <f>COUNTIF($C$12:C2184,"x")</f>
        <v>60</v>
      </c>
      <c r="B2184" s="1451" t="s">
        <v>1570</v>
      </c>
      <c r="C2184" s="966" t="str">
        <f t="shared" si="386"/>
        <v xml:space="preserve"> </v>
      </c>
      <c r="D2184" s="1411"/>
      <c r="E2184" s="976"/>
      <c r="F2184" s="988" t="str">
        <f>VLOOKUP($B2184,DG!A:D,DG!$C$2,)</f>
        <v>Biển số - Bảng nguy hiểm</v>
      </c>
      <c r="G2184" s="976" t="str">
        <f>VLOOKUP($B2184,DG!A:D,DG!$D$2,)</f>
        <v>cái</v>
      </c>
      <c r="H2184" s="1689">
        <f t="shared" si="385"/>
        <v>0</v>
      </c>
      <c r="I2184" s="1689"/>
      <c r="J2184" s="1689"/>
      <c r="K2184" s="1689"/>
      <c r="L2184" s="1689"/>
      <c r="M2184" s="1689"/>
      <c r="N2184" s="1689">
        <f t="shared" si="384"/>
        <v>0</v>
      </c>
      <c r="O2184" s="1689"/>
      <c r="P2184" s="1689">
        <f t="shared" si="381"/>
        <v>0</v>
      </c>
      <c r="Q2184" s="985"/>
      <c r="R2184" s="985"/>
      <c r="S2184" s="985"/>
      <c r="T2184" s="1858">
        <f t="shared" si="383"/>
        <v>0</v>
      </c>
    </row>
    <row r="2185" spans="1:20" ht="22.2" hidden="1" customHeight="1">
      <c r="A2185" s="1444">
        <f>COUNTIF($C$12:C2185,"x")</f>
        <v>60</v>
      </c>
      <c r="B2185" s="1451" t="s">
        <v>229</v>
      </c>
      <c r="C2185" s="966" t="str">
        <f t="shared" si="386"/>
        <v xml:space="preserve"> </v>
      </c>
      <c r="D2185" s="1411">
        <f>SUM(D2188:D2190)*5/1.4</f>
        <v>0</v>
      </c>
      <c r="E2185" s="976"/>
      <c r="F2185" s="988" t="str">
        <f>VLOOKUP($B2185,DG!A:D,DG!$C$2,)</f>
        <v xml:space="preserve">Dây nhôm buộc </v>
      </c>
      <c r="G2185" s="976" t="str">
        <f>VLOOKUP($B2185,DG!A:D,DG!$D$2,)</f>
        <v>kg</v>
      </c>
      <c r="H2185" s="1689">
        <f t="shared" si="385"/>
        <v>0</v>
      </c>
      <c r="I2185" s="1689"/>
      <c r="J2185" s="1689"/>
      <c r="K2185" s="1689"/>
      <c r="L2185" s="1689"/>
      <c r="M2185" s="1689"/>
      <c r="N2185" s="1689">
        <f t="shared" si="384"/>
        <v>0</v>
      </c>
      <c r="O2185" s="1689"/>
      <c r="P2185" s="1689">
        <f t="shared" si="381"/>
        <v>0</v>
      </c>
      <c r="Q2185" s="985"/>
      <c r="R2185" s="985"/>
      <c r="S2185" s="985"/>
      <c r="T2185" s="1858">
        <f t="shared" si="383"/>
        <v>0</v>
      </c>
    </row>
    <row r="2186" spans="1:20" ht="22.2" hidden="1" customHeight="1">
      <c r="A2186" s="1444">
        <f>COUNTIF($C$12:C2186,"x")</f>
        <v>60</v>
      </c>
      <c r="B2186" s="1480" t="s">
        <v>672</v>
      </c>
      <c r="C2186" s="966" t="str">
        <f t="shared" si="386"/>
        <v xml:space="preserve"> </v>
      </c>
      <c r="D2186" s="1411"/>
      <c r="E2186" s="976"/>
      <c r="F2186" s="988" t="str">
        <f>VLOOKUP($B2186,DG!A:D,DG!$C$2,)</f>
        <v>Băng keo cách điện</v>
      </c>
      <c r="G2186" s="976" t="str">
        <f>VLOOKUP($B2186,DG!A:D,DG!$D$2,)</f>
        <v>cuộn</v>
      </c>
      <c r="H2186" s="1689">
        <f t="shared" si="385"/>
        <v>0</v>
      </c>
      <c r="I2186" s="1689"/>
      <c r="J2186" s="1689"/>
      <c r="K2186" s="1689"/>
      <c r="L2186" s="1689"/>
      <c r="M2186" s="1689"/>
      <c r="N2186" s="1689"/>
      <c r="O2186" s="1689"/>
      <c r="P2186" s="1689">
        <f t="shared" si="381"/>
        <v>0</v>
      </c>
      <c r="Q2186" s="990"/>
      <c r="R2186" s="990"/>
      <c r="S2186" s="990"/>
      <c r="T2186" s="1858">
        <f t="shared" si="383"/>
        <v>0</v>
      </c>
    </row>
    <row r="2187" spans="1:20" ht="22.2" hidden="1" customHeight="1">
      <c r="A2187" s="1444">
        <f>COUNTIF($C$12:C2187,"x")</f>
        <v>60</v>
      </c>
      <c r="B2187" s="1451" t="s">
        <v>838</v>
      </c>
      <c r="C2187" s="966" t="str">
        <f t="shared" si="386"/>
        <v xml:space="preserve"> </v>
      </c>
      <c r="D2187" s="1411"/>
      <c r="E2187" s="976"/>
      <c r="F2187" s="988" t="str">
        <f>VLOOKUP($B2187,DG!A:D,DG!$C$2,)</f>
        <v>Tủ điện kế 1 pha</v>
      </c>
      <c r="G2187" s="976" t="str">
        <f>VLOOKUP($B2187,DG!A:D,DG!$D$2,)</f>
        <v>cái</v>
      </c>
      <c r="H2187" s="1689">
        <f t="shared" si="385"/>
        <v>0</v>
      </c>
      <c r="I2187" s="1689"/>
      <c r="J2187" s="1689"/>
      <c r="K2187" s="1689"/>
      <c r="L2187" s="1689"/>
      <c r="M2187" s="1689"/>
      <c r="N2187" s="1689">
        <f>D2187</f>
        <v>0</v>
      </c>
      <c r="O2187" s="1689"/>
      <c r="P2187" s="1689">
        <f t="shared" si="381"/>
        <v>0</v>
      </c>
      <c r="Q2187" s="985"/>
      <c r="R2187" s="985"/>
      <c r="S2187" s="985"/>
      <c r="T2187" s="1858">
        <f t="shared" si="383"/>
        <v>0</v>
      </c>
    </row>
    <row r="2188" spans="1:20" ht="22.2" hidden="1" customHeight="1">
      <c r="A2188" s="1444">
        <f>COUNTIF($C$12:C2188,"x")</f>
        <v>60</v>
      </c>
      <c r="B2188" s="1451" t="s">
        <v>79</v>
      </c>
      <c r="C2188" s="966" t="str">
        <f t="shared" si="386"/>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81"/>
        <v>0</v>
      </c>
      <c r="Q2188" s="985"/>
      <c r="R2188" s="985"/>
      <c r="S2188" s="985"/>
      <c r="T2188" s="1858">
        <f t="shared" si="383"/>
        <v>0</v>
      </c>
    </row>
    <row r="2189" spans="1:20" ht="22.2" hidden="1" customHeight="1">
      <c r="A2189" s="1444">
        <f>COUNTIF($C$12:C2189,"x")</f>
        <v>60</v>
      </c>
      <c r="B2189" s="1451" t="s">
        <v>451</v>
      </c>
      <c r="C2189" s="966" t="str">
        <f t="shared" si="386"/>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81"/>
        <v>0</v>
      </c>
      <c r="Q2189" s="985"/>
      <c r="R2189" s="985"/>
      <c r="S2189" s="985"/>
      <c r="T2189" s="1858">
        <f t="shared" si="383"/>
        <v>0</v>
      </c>
    </row>
    <row r="2190" spans="1:20" ht="22.2" hidden="1" customHeight="1">
      <c r="A2190" s="1444">
        <f>COUNTIF($C$12:C2190,"x")</f>
        <v>60</v>
      </c>
      <c r="B2190" s="1451" t="s">
        <v>1269</v>
      </c>
      <c r="C2190" s="966" t="str">
        <f t="shared" si="386"/>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81"/>
        <v>0</v>
      </c>
      <c r="Q2190" s="985"/>
      <c r="R2190" s="985"/>
      <c r="S2190" s="985"/>
      <c r="T2190" s="1858">
        <f t="shared" si="383"/>
        <v>0</v>
      </c>
    </row>
    <row r="2191" spans="1:20" ht="22.2" hidden="1" customHeight="1">
      <c r="A2191" s="1444">
        <f>COUNTIF($C$12:C2191,"x")</f>
        <v>60</v>
      </c>
      <c r="B2191" s="1451" t="s">
        <v>1647</v>
      </c>
      <c r="C2191" s="966" t="str">
        <f t="shared" si="386"/>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81"/>
        <v>0</v>
      </c>
      <c r="Q2191" s="987"/>
      <c r="R2191" s="987"/>
      <c r="S2191" s="987"/>
      <c r="T2191" s="1858">
        <f t="shared" si="383"/>
        <v>0</v>
      </c>
    </row>
    <row r="2192" spans="1:20" ht="22.2" hidden="1" customHeight="1">
      <c r="A2192" s="1444">
        <f>COUNTIF($C$12:C2192,"x")</f>
        <v>60</v>
      </c>
      <c r="B2192" s="1451" t="s">
        <v>1648</v>
      </c>
      <c r="C2192" s="966" t="str">
        <f t="shared" si="386"/>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81"/>
        <v>0</v>
      </c>
      <c r="Q2192" s="987"/>
      <c r="R2192" s="987"/>
      <c r="S2192" s="987"/>
      <c r="T2192" s="1858">
        <f t="shared" si="383"/>
        <v>0</v>
      </c>
    </row>
    <row r="2193" spans="1:20" ht="22.2" hidden="1" customHeight="1">
      <c r="A2193" s="1444">
        <f>COUNTIF($C$12:C2193,"x")</f>
        <v>60</v>
      </c>
      <c r="B2193" s="1451" t="s">
        <v>2222</v>
      </c>
      <c r="C2193" s="966" t="str">
        <f t="shared" si="386"/>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81"/>
        <v>0</v>
      </c>
      <c r="Q2193" s="985"/>
      <c r="R2193" s="985"/>
      <c r="S2193" s="985"/>
      <c r="T2193" s="1858">
        <f t="shared" si="383"/>
        <v>0</v>
      </c>
    </row>
    <row r="2194" spans="1:20" ht="22.2" hidden="1" customHeight="1">
      <c r="A2194" s="1444">
        <f>COUNTIF($C$12:C2194,"x")</f>
        <v>60</v>
      </c>
      <c r="B2194" s="1451" t="s">
        <v>864</v>
      </c>
      <c r="C2194" s="966" t="str">
        <f t="shared" si="386"/>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81"/>
        <v>0</v>
      </c>
      <c r="Q2194" s="985"/>
      <c r="R2194" s="985"/>
      <c r="S2194" s="985"/>
      <c r="T2194" s="1858">
        <f t="shared" si="383"/>
        <v>0</v>
      </c>
    </row>
    <row r="2195" spans="1:20" ht="22.2" hidden="1" customHeight="1">
      <c r="A2195" s="1444">
        <f>COUNTIF($C$12:C2195,"x")</f>
        <v>60</v>
      </c>
      <c r="B2195" s="1451" t="s">
        <v>865</v>
      </c>
      <c r="C2195" s="966" t="str">
        <f t="shared" si="386"/>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81"/>
        <v>0</v>
      </c>
      <c r="Q2195" s="985"/>
      <c r="R2195" s="985"/>
      <c r="S2195" s="985"/>
      <c r="T2195" s="1858">
        <f t="shared" si="383"/>
        <v>0</v>
      </c>
    </row>
    <row r="2196" spans="1:20" ht="22.2" hidden="1" customHeight="1">
      <c r="A2196" s="1444">
        <f>COUNTIF($C$12:C2196,"x")</f>
        <v>60</v>
      </c>
      <c r="B2196" s="1451" t="s">
        <v>866</v>
      </c>
      <c r="C2196" s="966" t="str">
        <f t="shared" si="386"/>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81"/>
        <v>0</v>
      </c>
      <c r="Q2196" s="985"/>
      <c r="R2196" s="985"/>
      <c r="S2196" s="985"/>
      <c r="T2196" s="1858">
        <f t="shared" si="383"/>
        <v>0</v>
      </c>
    </row>
    <row r="2197" spans="1:20" ht="22.2" hidden="1" customHeight="1">
      <c r="A2197" s="1444">
        <f>COUNTIF($C$12:C2197,"x")</f>
        <v>60</v>
      </c>
      <c r="B2197" s="1451" t="s">
        <v>866</v>
      </c>
      <c r="C2197" s="966" t="str">
        <f t="shared" si="386"/>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81"/>
        <v>0</v>
      </c>
      <c r="Q2197" s="985"/>
      <c r="R2197" s="985"/>
      <c r="S2197" s="985"/>
      <c r="T2197" s="1858">
        <f t="shared" si="383"/>
        <v>0</v>
      </c>
    </row>
    <row r="2198" spans="1:20" ht="22.2" hidden="1" customHeight="1">
      <c r="A2198" s="1444">
        <f>COUNTIF($C$12:C2198,"x")</f>
        <v>60</v>
      </c>
      <c r="B2198" s="1451" t="s">
        <v>1648</v>
      </c>
      <c r="C2198" s="966" t="str">
        <f t="shared" si="386"/>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81"/>
        <v>0</v>
      </c>
      <c r="Q2198" s="985"/>
      <c r="R2198" s="985"/>
      <c r="S2198" s="985"/>
      <c r="T2198" s="1858">
        <f t="shared" si="383"/>
        <v>0</v>
      </c>
    </row>
    <row r="2199" spans="1:20" ht="22.2" hidden="1" customHeight="1">
      <c r="A2199" s="1444">
        <f>COUNTIF($C$12:C2199,"x")</f>
        <v>60</v>
      </c>
      <c r="B2199" s="1451" t="s">
        <v>125</v>
      </c>
      <c r="C2199" s="966" t="str">
        <f t="shared" si="386"/>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81"/>
        <v>0</v>
      </c>
      <c r="Q2199" s="985"/>
      <c r="R2199" s="985"/>
      <c r="S2199" s="985"/>
      <c r="T2199" s="1858">
        <f t="shared" si="383"/>
        <v>0</v>
      </c>
    </row>
    <row r="2200" spans="1:20" ht="22.2" hidden="1" customHeight="1">
      <c r="A2200" s="1444">
        <f>COUNTIF($C$12:C2200,"x")</f>
        <v>60</v>
      </c>
      <c r="B2200" s="1451" t="s">
        <v>452</v>
      </c>
      <c r="C2200" s="966" t="str">
        <f t="shared" si="386"/>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81"/>
        <v>0</v>
      </c>
      <c r="Q2200" s="990"/>
      <c r="R2200" s="990"/>
      <c r="S2200" s="990"/>
      <c r="T2200" s="1858">
        <f t="shared" si="383"/>
        <v>0</v>
      </c>
    </row>
    <row r="2201" spans="1:20" ht="22.2" hidden="1" customHeight="1">
      <c r="A2201" s="1444">
        <f>COUNTIF($C$12:C2201,"x")</f>
        <v>60</v>
      </c>
      <c r="B2201" s="1451" t="s">
        <v>689</v>
      </c>
      <c r="C2201" s="966" t="str">
        <f t="shared" si="386"/>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81"/>
        <v>0</v>
      </c>
      <c r="Q2201" s="985"/>
      <c r="R2201" s="985"/>
      <c r="S2201" s="985"/>
      <c r="T2201" s="1858">
        <f t="shared" si="383"/>
        <v>0</v>
      </c>
    </row>
    <row r="2202" spans="1:20" ht="22.2" hidden="1" customHeight="1">
      <c r="A2202" s="1444">
        <f>COUNTIF($C$12:C2202,"x")</f>
        <v>60</v>
      </c>
      <c r="B2202" s="1451" t="s">
        <v>352</v>
      </c>
      <c r="C2202" s="966" t="str">
        <f t="shared" si="386"/>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7">H2202+Q2202-R2202</f>
        <v>0</v>
      </c>
      <c r="Q2202" s="985"/>
      <c r="R2202" s="985"/>
      <c r="S2202" s="985"/>
      <c r="T2202" s="1858">
        <f t="shared" si="383"/>
        <v>0</v>
      </c>
    </row>
    <row r="2203" spans="1:20" ht="22.2" hidden="1" customHeight="1">
      <c r="A2203" s="1444">
        <f>COUNTIF($C$12:C2203,"x")</f>
        <v>60</v>
      </c>
      <c r="B2203" s="1451" t="s">
        <v>355</v>
      </c>
      <c r="C2203" s="966" t="str">
        <f t="shared" si="386"/>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7"/>
        <v>0</v>
      </c>
      <c r="Q2203" s="990"/>
      <c r="R2203" s="990"/>
      <c r="S2203" s="990"/>
      <c r="T2203" s="1858">
        <f t="shared" si="383"/>
        <v>0</v>
      </c>
    </row>
    <row r="2204" spans="1:20" ht="22.2" hidden="1" customHeight="1">
      <c r="A2204" s="1444">
        <f>COUNTIF($C$12:C2204,"x")</f>
        <v>60</v>
      </c>
      <c r="B2204" s="1451" t="s">
        <v>1902</v>
      </c>
      <c r="C2204" s="966" t="str">
        <f t="shared" si="386"/>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7"/>
        <v>0</v>
      </c>
      <c r="Q2204" s="990"/>
      <c r="R2204" s="990"/>
      <c r="S2204" s="990"/>
      <c r="T2204" s="1858">
        <f t="shared" si="383"/>
        <v>0</v>
      </c>
    </row>
    <row r="2205" spans="1:20" ht="22.2" hidden="1" customHeight="1">
      <c r="A2205" s="1444">
        <f>COUNTIF($C$12:C2205,"x")</f>
        <v>60</v>
      </c>
      <c r="B2205" s="1462"/>
      <c r="C2205" s="966" t="str">
        <f t="shared" si="386"/>
        <v xml:space="preserve"> </v>
      </c>
      <c r="D2205" s="1410"/>
      <c r="E2205" s="976"/>
      <c r="F2205" s="988"/>
      <c r="G2205" s="976"/>
      <c r="H2205" s="1689"/>
      <c r="I2205" s="1689"/>
      <c r="J2205" s="1689"/>
      <c r="K2205" s="1689"/>
      <c r="L2205" s="1689"/>
      <c r="M2205" s="1689"/>
      <c r="N2205" s="1689"/>
      <c r="O2205" s="1689"/>
      <c r="P2205" s="1689">
        <f t="shared" si="387"/>
        <v>0</v>
      </c>
      <c r="Q2205" s="990"/>
      <c r="R2205" s="990"/>
      <c r="S2205" s="990"/>
      <c r="T2205" s="1858">
        <f t="shared" si="383"/>
        <v>0</v>
      </c>
    </row>
    <row r="2206" spans="1:20" ht="22.2" hidden="1" customHeight="1">
      <c r="A2206" s="1444">
        <f>COUNTIF($C$12:C2206,"x")</f>
        <v>60</v>
      </c>
      <c r="B2206" s="1462"/>
      <c r="C2206" s="966" t="str">
        <f t="shared" si="386"/>
        <v xml:space="preserve"> </v>
      </c>
      <c r="D2206" s="1410"/>
      <c r="E2206" s="976"/>
      <c r="F2206" s="988"/>
      <c r="G2206" s="976"/>
      <c r="H2206" s="1689"/>
      <c r="I2206" s="1689"/>
      <c r="J2206" s="1689"/>
      <c r="K2206" s="1689"/>
      <c r="L2206" s="1689"/>
      <c r="M2206" s="1689"/>
      <c r="N2206" s="1689"/>
      <c r="O2206" s="1689"/>
      <c r="P2206" s="1689">
        <f t="shared" si="387"/>
        <v>0</v>
      </c>
      <c r="Q2206" s="990"/>
      <c r="R2206" s="990"/>
      <c r="S2206" s="990"/>
      <c r="T2206" s="1858">
        <f t="shared" si="383"/>
        <v>0</v>
      </c>
    </row>
    <row r="2207" spans="1:20" ht="22.2" hidden="1" customHeight="1">
      <c r="A2207" s="1444">
        <f>COUNTIF($C$12:C2207,"x")</f>
        <v>60</v>
      </c>
      <c r="B2207" s="1460"/>
      <c r="C2207" s="966" t="str">
        <f t="shared" si="386"/>
        <v xml:space="preserve"> </v>
      </c>
      <c r="D2207" s="1410"/>
      <c r="E2207" s="976"/>
      <c r="F2207" s="988"/>
      <c r="G2207" s="976"/>
      <c r="H2207" s="1689"/>
      <c r="I2207" s="1689"/>
      <c r="J2207" s="1689"/>
      <c r="K2207" s="1689"/>
      <c r="L2207" s="1689"/>
      <c r="M2207" s="1689"/>
      <c r="N2207" s="1689"/>
      <c r="O2207" s="1689"/>
      <c r="P2207" s="1689">
        <f t="shared" si="387"/>
        <v>0</v>
      </c>
      <c r="Q2207" s="990"/>
      <c r="R2207" s="990"/>
      <c r="S2207" s="990"/>
      <c r="T2207" s="1858">
        <f t="shared" si="383"/>
        <v>0</v>
      </c>
    </row>
    <row r="2208" spans="1:20" ht="22.2" hidden="1" customHeight="1">
      <c r="A2208" s="1444">
        <f>COUNTIF($C$12:C2208,"x")</f>
        <v>60</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3"/>
        <v>0</v>
      </c>
    </row>
    <row r="2209" spans="1:20" ht="22.2" hidden="1" customHeight="1">
      <c r="A2209" s="1444">
        <f>COUNTIF($C$12:C2209,"x")</f>
        <v>60</v>
      </c>
      <c r="B2209" s="1451" t="s">
        <v>1343</v>
      </c>
      <c r="C2209" s="966" t="str">
        <f t="shared" si="386"/>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8">H2209</f>
        <v>0</v>
      </c>
      <c r="N2209" s="1689"/>
      <c r="O2209" s="1689"/>
      <c r="P2209" s="1689">
        <f t="shared" si="387"/>
        <v>0</v>
      </c>
      <c r="Q2209" s="985"/>
      <c r="R2209" s="985"/>
      <c r="S2209" s="985"/>
      <c r="T2209" s="1858">
        <f t="shared" si="383"/>
        <v>0</v>
      </c>
    </row>
    <row r="2210" spans="1:20" ht="22.2" hidden="1" customHeight="1">
      <c r="A2210" s="1444">
        <f>COUNTIF($C$12:C2210,"x")</f>
        <v>60</v>
      </c>
      <c r="B2210" s="1451" t="s">
        <v>1034</v>
      </c>
      <c r="C2210" s="966" t="str">
        <f t="shared" si="386"/>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8"/>
        <v>0</v>
      </c>
      <c r="N2210" s="1689"/>
      <c r="O2210" s="1689"/>
      <c r="P2210" s="1689">
        <f t="shared" si="387"/>
        <v>0</v>
      </c>
      <c r="Q2210" s="985"/>
      <c r="R2210" s="985"/>
      <c r="S2210" s="985"/>
      <c r="T2210" s="1858">
        <f t="shared" si="383"/>
        <v>0</v>
      </c>
    </row>
    <row r="2211" spans="1:20" ht="22.2" hidden="1" customHeight="1">
      <c r="A2211" s="1444">
        <f>COUNTIF($C$12:C2211,"x")</f>
        <v>60</v>
      </c>
      <c r="B2211" s="1451" t="s">
        <v>88</v>
      </c>
      <c r="C2211" s="966" t="str">
        <f t="shared" si="386"/>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8"/>
        <v>0</v>
      </c>
      <c r="N2211" s="1689"/>
      <c r="O2211" s="1689"/>
      <c r="P2211" s="1689">
        <f t="shared" si="387"/>
        <v>0</v>
      </c>
      <c r="Q2211" s="985"/>
      <c r="R2211" s="985"/>
      <c r="S2211" s="985"/>
      <c r="T2211" s="1858">
        <f t="shared" si="383"/>
        <v>0</v>
      </c>
    </row>
    <row r="2212" spans="1:20" ht="22.2" hidden="1" customHeight="1">
      <c r="A2212" s="1444">
        <f>COUNTIF($C$12:C2212,"x")</f>
        <v>60</v>
      </c>
      <c r="B2212" s="1451" t="s">
        <v>1682</v>
      </c>
      <c r="C2212" s="966" t="str">
        <f t="shared" si="386"/>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8"/>
        <v>0</v>
      </c>
      <c r="N2212" s="1689"/>
      <c r="O2212" s="1689"/>
      <c r="P2212" s="1689">
        <f t="shared" si="387"/>
        <v>0</v>
      </c>
      <c r="Q2212" s="985"/>
      <c r="R2212" s="985"/>
      <c r="S2212" s="985"/>
      <c r="T2212" s="1858">
        <f t="shared" si="383"/>
        <v>0</v>
      </c>
    </row>
    <row r="2213" spans="1:20" ht="22.2" hidden="1" customHeight="1">
      <c r="A2213" s="1444">
        <f>COUNTIF($C$12:C2213,"x")</f>
        <v>60</v>
      </c>
      <c r="B2213" s="1451" t="s">
        <v>1582</v>
      </c>
      <c r="C2213" s="966" t="str">
        <f t="shared" si="386"/>
        <v xml:space="preserve"> </v>
      </c>
      <c r="D2213" s="1424">
        <f>ppht!DS339</f>
        <v>0</v>
      </c>
      <c r="E2213" s="976"/>
      <c r="F2213" s="988" t="str">
        <f>VLOOKUP($B2213,DG!A:D,DG!$C$2,)</f>
        <v>Kẹp 2 rãnh cỡ dây 50mm2</v>
      </c>
      <c r="G2213" s="976" t="str">
        <f>VLOOKUP($B2213,DG!A:D,DG!$D$2,)</f>
        <v>cái</v>
      </c>
      <c r="H2213" s="1689">
        <f t="shared" ref="H2213:H2227" si="389">D2213</f>
        <v>0</v>
      </c>
      <c r="I2213" s="1689"/>
      <c r="J2213" s="1689"/>
      <c r="K2213" s="1689"/>
      <c r="L2213" s="1689"/>
      <c r="M2213" s="1689">
        <f t="shared" si="388"/>
        <v>0</v>
      </c>
      <c r="N2213" s="1689"/>
      <c r="O2213" s="1689"/>
      <c r="P2213" s="1689">
        <f t="shared" si="387"/>
        <v>0</v>
      </c>
      <c r="Q2213" s="985"/>
      <c r="R2213" s="985"/>
      <c r="S2213" s="985"/>
      <c r="T2213" s="1858">
        <f t="shared" ref="T2213:T2276" si="390">IFERROR(HLOOKUP(B2213,BangKeTru,3,0),0)</f>
        <v>0</v>
      </c>
    </row>
    <row r="2214" spans="1:20" ht="22.2" hidden="1" customHeight="1">
      <c r="A2214" s="1444">
        <f>COUNTIF($C$12:C2214,"x")</f>
        <v>60</v>
      </c>
      <c r="B2214" s="1451" t="s">
        <v>1581</v>
      </c>
      <c r="C2214" s="966" t="str">
        <f t="shared" si="386"/>
        <v xml:space="preserve"> </v>
      </c>
      <c r="D2214" s="1424">
        <f>ppht!DT339</f>
        <v>0</v>
      </c>
      <c r="E2214" s="976"/>
      <c r="F2214" s="988" t="str">
        <f>VLOOKUP($B2214,DG!A:D,DG!$C$2,)</f>
        <v>Kẹp 2 rãnh cỡ dây 70mm2</v>
      </c>
      <c r="G2214" s="976" t="str">
        <f>VLOOKUP($B2214,DG!A:D,DG!$D$2,)</f>
        <v>cái</v>
      </c>
      <c r="H2214" s="1689">
        <f t="shared" si="389"/>
        <v>0</v>
      </c>
      <c r="I2214" s="1689"/>
      <c r="J2214" s="1689"/>
      <c r="K2214" s="1689"/>
      <c r="L2214" s="1689"/>
      <c r="M2214" s="1689">
        <f t="shared" si="388"/>
        <v>0</v>
      </c>
      <c r="N2214" s="1689"/>
      <c r="O2214" s="1689"/>
      <c r="P2214" s="1689">
        <f t="shared" si="387"/>
        <v>0</v>
      </c>
      <c r="Q2214" s="985"/>
      <c r="R2214" s="985"/>
      <c r="S2214" s="985"/>
      <c r="T2214" s="1858">
        <f t="shared" si="390"/>
        <v>0</v>
      </c>
    </row>
    <row r="2215" spans="1:20" ht="22.2" hidden="1" customHeight="1">
      <c r="A2215" s="1444">
        <f>COUNTIF($C$12:C2215,"x")</f>
        <v>60</v>
      </c>
      <c r="B2215" s="1451" t="s">
        <v>1568</v>
      </c>
      <c r="C2215" s="966" t="str">
        <f t="shared" si="386"/>
        <v xml:space="preserve"> </v>
      </c>
      <c r="D2215" s="1424">
        <f>+'ppht NC'!BW310</f>
        <v>0</v>
      </c>
      <c r="E2215" s="976"/>
      <c r="F2215" s="988" t="str">
        <f>VLOOKUP($B2215,DG!A:D,DG!$C$2,)</f>
        <v>Uclevis + sứ ống chỉ</v>
      </c>
      <c r="G2215" s="976" t="str">
        <f>VLOOKUP($B2215,DG!A:D,DG!$D$2,)</f>
        <v>bộ</v>
      </c>
      <c r="H2215" s="1689">
        <f t="shared" si="389"/>
        <v>0</v>
      </c>
      <c r="I2215" s="1689"/>
      <c r="J2215" s="1689"/>
      <c r="K2215" s="1689"/>
      <c r="L2215" s="1689"/>
      <c r="M2215" s="1689">
        <f t="shared" ref="M2215:M2223" si="391">H2215</f>
        <v>0</v>
      </c>
      <c r="N2215" s="1689"/>
      <c r="O2215" s="1689"/>
      <c r="P2215" s="1689">
        <f t="shared" si="387"/>
        <v>0</v>
      </c>
      <c r="Q2215" s="985"/>
      <c r="R2215" s="985"/>
      <c r="S2215" s="985"/>
      <c r="T2215" s="1858">
        <f t="shared" si="390"/>
        <v>0</v>
      </c>
    </row>
    <row r="2216" spans="1:20" ht="22.2" hidden="1" customHeight="1">
      <c r="A2216" s="1444">
        <f>COUNTIF($C$12:C2216,"x")</f>
        <v>60</v>
      </c>
      <c r="B2216" s="1451" t="s">
        <v>1491</v>
      </c>
      <c r="C2216" s="966" t="str">
        <f t="shared" si="386"/>
        <v xml:space="preserve"> </v>
      </c>
      <c r="D2216" s="1424">
        <f>ppht!BY339+pp_NC!EM182</f>
        <v>0</v>
      </c>
      <c r="E2216" s="976"/>
      <c r="F2216" s="988" t="str">
        <f>VLOOKUP($B2216,DG!A:D,DG!$C$2,)</f>
        <v>Rack 2 sứ + sứ ống chỉ</v>
      </c>
      <c r="G2216" s="976" t="str">
        <f>VLOOKUP($B2216,DG!A:D,DG!$D$2,)</f>
        <v>bộ</v>
      </c>
      <c r="H2216" s="1689">
        <f t="shared" si="389"/>
        <v>0</v>
      </c>
      <c r="I2216" s="1689"/>
      <c r="J2216" s="1689"/>
      <c r="K2216" s="1689"/>
      <c r="L2216" s="1689"/>
      <c r="M2216" s="1689">
        <f t="shared" si="391"/>
        <v>0</v>
      </c>
      <c r="N2216" s="1689"/>
      <c r="O2216" s="1689"/>
      <c r="P2216" s="1689">
        <f t="shared" si="387"/>
        <v>0</v>
      </c>
      <c r="Q2216" s="985"/>
      <c r="R2216" s="985"/>
      <c r="S2216" s="985"/>
      <c r="T2216" s="1858">
        <f t="shared" si="390"/>
        <v>0</v>
      </c>
    </row>
    <row r="2217" spans="1:20" ht="22.2" hidden="1" customHeight="1">
      <c r="A2217" s="1444">
        <f>COUNTIF($C$12:C2217,"x")</f>
        <v>60</v>
      </c>
      <c r="B2217" s="1451" t="s">
        <v>278</v>
      </c>
      <c r="C2217" s="966" t="str">
        <f t="shared" si="386"/>
        <v xml:space="preserve"> </v>
      </c>
      <c r="D2217" s="1424">
        <f>ppht!BZ339+pp_NC!EN182</f>
        <v>0</v>
      </c>
      <c r="E2217" s="976"/>
      <c r="F2217" s="988" t="str">
        <f>VLOOKUP($B2217,DG!A:D,DG!$C$2,)</f>
        <v>Rack 3 sứ + sứ ống chỉ</v>
      </c>
      <c r="G2217" s="976" t="str">
        <f>VLOOKUP($B2217,DG!A:D,DG!$D$2,)</f>
        <v>bộ</v>
      </c>
      <c r="H2217" s="1689">
        <f t="shared" si="389"/>
        <v>0</v>
      </c>
      <c r="I2217" s="1689"/>
      <c r="J2217" s="1689"/>
      <c r="K2217" s="1689"/>
      <c r="L2217" s="1689"/>
      <c r="M2217" s="1689">
        <f t="shared" si="391"/>
        <v>0</v>
      </c>
      <c r="N2217" s="1689"/>
      <c r="O2217" s="1689"/>
      <c r="P2217" s="1689">
        <f t="shared" si="387"/>
        <v>0</v>
      </c>
      <c r="Q2217" s="985"/>
      <c r="R2217" s="985"/>
      <c r="S2217" s="985"/>
      <c r="T2217" s="1858">
        <f t="shared" si="390"/>
        <v>0</v>
      </c>
    </row>
    <row r="2218" spans="1:20" ht="22.2" hidden="1" customHeight="1">
      <c r="A2218" s="1444">
        <f>COUNTIF($C$12:C2218,"x")</f>
        <v>60</v>
      </c>
      <c r="B2218" s="1451" t="s">
        <v>698</v>
      </c>
      <c r="C2218" s="966" t="str">
        <f t="shared" si="386"/>
        <v xml:space="preserve"> </v>
      </c>
      <c r="D2218" s="1424">
        <f>+'ppht NC'!BZ310</f>
        <v>0</v>
      </c>
      <c r="E2218" s="976"/>
      <c r="F2218" s="988" t="str">
        <f>VLOOKUP($B2218,DG!A:D,DG!$C$2,)</f>
        <v>Rack 4</v>
      </c>
      <c r="G2218" s="976" t="str">
        <f>VLOOKUP($B2218,DG!A:D,DG!$D$2,)</f>
        <v>cái</v>
      </c>
      <c r="H2218" s="1689">
        <f t="shared" si="389"/>
        <v>0</v>
      </c>
      <c r="I2218" s="1689"/>
      <c r="J2218" s="1689"/>
      <c r="K2218" s="1689"/>
      <c r="L2218" s="1689"/>
      <c r="M2218" s="1689">
        <f t="shared" si="391"/>
        <v>0</v>
      </c>
      <c r="N2218" s="1689"/>
      <c r="O2218" s="1689"/>
      <c r="P2218" s="1689">
        <f t="shared" si="387"/>
        <v>0</v>
      </c>
      <c r="Q2218" s="985"/>
      <c r="R2218" s="985"/>
      <c r="S2218" s="985"/>
      <c r="T2218" s="1858">
        <f t="shared" si="390"/>
        <v>0</v>
      </c>
    </row>
    <row r="2219" spans="1:20" ht="22.2" hidden="1" customHeight="1">
      <c r="A2219" s="1444">
        <f>COUNTIF($C$12:C2219,"x")</f>
        <v>60</v>
      </c>
      <c r="B2219" s="1451" t="s">
        <v>1448</v>
      </c>
      <c r="C2219" s="966" t="str">
        <f t="shared" si="386"/>
        <v xml:space="preserve"> </v>
      </c>
      <c r="D2219" s="1424">
        <f>+'ppht NC'!BV310</f>
        <v>0</v>
      </c>
      <c r="E2219" s="976"/>
      <c r="F2219" s="988" t="str">
        <f>VLOOKUP($B2219,DG!A:D,DG!$C$2,)</f>
        <v xml:space="preserve">Sứ ống chỉ </v>
      </c>
      <c r="G2219" s="976" t="str">
        <f>VLOOKUP($B2219,DG!A:D,DG!$D$2,)</f>
        <v>cái</v>
      </c>
      <c r="H2219" s="1689">
        <f t="shared" si="389"/>
        <v>0</v>
      </c>
      <c r="I2219" s="1689"/>
      <c r="J2219" s="1689"/>
      <c r="K2219" s="1689"/>
      <c r="L2219" s="1689"/>
      <c r="M2219" s="1689">
        <f>H2219</f>
        <v>0</v>
      </c>
      <c r="N2219" s="1689"/>
      <c r="O2219" s="1689"/>
      <c r="P2219" s="1689">
        <f t="shared" si="387"/>
        <v>0</v>
      </c>
      <c r="Q2219" s="985"/>
      <c r="R2219" s="985"/>
      <c r="S2219" s="985"/>
      <c r="T2219" s="1858">
        <f t="shared" si="390"/>
        <v>0</v>
      </c>
    </row>
    <row r="2220" spans="1:20" ht="22.2" hidden="1" customHeight="1">
      <c r="A2220" s="1444">
        <f>COUNTIF($C$12:C2220,"x")</f>
        <v>60</v>
      </c>
      <c r="B2220" s="1456" t="s">
        <v>1609</v>
      </c>
      <c r="C2220" s="966" t="str">
        <f t="shared" si="386"/>
        <v xml:space="preserve"> </v>
      </c>
      <c r="D2220" s="1424">
        <f>+'ppht NC'!CA310</f>
        <v>0</v>
      </c>
      <c r="E2220" s="976"/>
      <c r="F2220" s="988" t="str">
        <f>VLOOKUP($B2220,DG!A:D,DG!$C$2,)</f>
        <v>Boulon 16x250+ 2 long đền vuông D18-50x50x3/Zn</v>
      </c>
      <c r="G2220" s="976" t="str">
        <f>VLOOKUP($B2220,DG!A:D,DG!$D$2,)</f>
        <v>bộ</v>
      </c>
      <c r="H2220" s="1689">
        <f t="shared" si="389"/>
        <v>0</v>
      </c>
      <c r="I2220" s="1689"/>
      <c r="J2220" s="1689"/>
      <c r="K2220" s="1689"/>
      <c r="L2220" s="1689"/>
      <c r="M2220" s="1689">
        <f t="shared" si="391"/>
        <v>0</v>
      </c>
      <c r="N2220" s="1689"/>
      <c r="O2220" s="1689"/>
      <c r="P2220" s="1689">
        <f t="shared" si="387"/>
        <v>0</v>
      </c>
      <c r="Q2220" s="985"/>
      <c r="R2220" s="985"/>
      <c r="S2220" s="985"/>
      <c r="T2220" s="1858">
        <f t="shared" si="390"/>
        <v>0</v>
      </c>
    </row>
    <row r="2221" spans="1:20" ht="22.2" hidden="1" customHeight="1">
      <c r="A2221" s="1444">
        <f>COUNTIF($C$12:C2221,"x")</f>
        <v>60</v>
      </c>
      <c r="B2221" s="1456" t="s">
        <v>1610</v>
      </c>
      <c r="C2221" s="966" t="str">
        <f t="shared" si="386"/>
        <v xml:space="preserve"> </v>
      </c>
      <c r="D2221" s="1424">
        <f>+'ppht NC'!CB310</f>
        <v>0</v>
      </c>
      <c r="E2221" s="976"/>
      <c r="F2221" s="988" t="str">
        <f>VLOOKUP($B2221,DG!A:D,DG!$C$2,)</f>
        <v>Boulon 16x300+ 2 long đền vuông D18-50x50x3/Zn</v>
      </c>
      <c r="G2221" s="976" t="str">
        <f>VLOOKUP($B2221,DG!A:D,DG!$D$2,)</f>
        <v>bộ</v>
      </c>
      <c r="H2221" s="1689">
        <f t="shared" si="389"/>
        <v>0</v>
      </c>
      <c r="I2221" s="1689"/>
      <c r="J2221" s="1689"/>
      <c r="K2221" s="1689"/>
      <c r="L2221" s="1689"/>
      <c r="M2221" s="1689">
        <f t="shared" si="391"/>
        <v>0</v>
      </c>
      <c r="N2221" s="1689"/>
      <c r="O2221" s="1689"/>
      <c r="P2221" s="1689">
        <f t="shared" si="387"/>
        <v>0</v>
      </c>
      <c r="Q2221" s="985"/>
      <c r="R2221" s="985"/>
      <c r="S2221" s="985"/>
      <c r="T2221" s="1858">
        <f t="shared" si="390"/>
        <v>0</v>
      </c>
    </row>
    <row r="2222" spans="1:20" ht="22.2" hidden="1" customHeight="1">
      <c r="A2222" s="1444">
        <f>COUNTIF($C$12:C2222,"x")</f>
        <v>60</v>
      </c>
      <c r="B2222" s="1456" t="s">
        <v>1185</v>
      </c>
      <c r="C2222" s="966" t="str">
        <f t="shared" si="386"/>
        <v xml:space="preserve"> </v>
      </c>
      <c r="D2222" s="1424">
        <f>ppht!CD339</f>
        <v>0</v>
      </c>
      <c r="E2222" s="976"/>
      <c r="F2222" s="988" t="str">
        <f>VLOOKUP($B2222,DG!A:D,DG!$C$2,)</f>
        <v>Boulon 16x350+ 2 long đền vuông D18-50x50x3/Zn</v>
      </c>
      <c r="G2222" s="976" t="str">
        <f>VLOOKUP($B2222,DG!A:D,DG!$D$2,)</f>
        <v>bộ</v>
      </c>
      <c r="H2222" s="1689">
        <f t="shared" si="389"/>
        <v>0</v>
      </c>
      <c r="I2222" s="1689"/>
      <c r="J2222" s="1689"/>
      <c r="K2222" s="1689"/>
      <c r="L2222" s="1689"/>
      <c r="M2222" s="1689">
        <f t="shared" si="391"/>
        <v>0</v>
      </c>
      <c r="N2222" s="1689"/>
      <c r="O2222" s="1689"/>
      <c r="P2222" s="1689">
        <f t="shared" si="387"/>
        <v>0</v>
      </c>
      <c r="Q2222" s="985"/>
      <c r="R2222" s="985"/>
      <c r="S2222" s="985"/>
      <c r="T2222" s="1858">
        <f t="shared" si="390"/>
        <v>0</v>
      </c>
    </row>
    <row r="2223" spans="1:20" ht="22.2" hidden="1" customHeight="1">
      <c r="A2223" s="1444">
        <f>COUNTIF($C$12:C2223,"x")</f>
        <v>60</v>
      </c>
      <c r="B2223" s="1456" t="s">
        <v>1023</v>
      </c>
      <c r="C2223" s="966" t="str">
        <f t="shared" si="386"/>
        <v xml:space="preserve"> </v>
      </c>
      <c r="D2223" s="1424">
        <f>ppht!BF339</f>
        <v>0</v>
      </c>
      <c r="E2223" s="976"/>
      <c r="F2223" s="988" t="str">
        <f>VLOOKUP($B2223,DG!A:D,DG!$C$2,)</f>
        <v>Cáp thép 3/8"</v>
      </c>
      <c r="G2223" s="976" t="str">
        <f>VLOOKUP($B2223,DG!A:D,DG!$D$2,)</f>
        <v>kg</v>
      </c>
      <c r="H2223" s="1689">
        <f t="shared" si="389"/>
        <v>0</v>
      </c>
      <c r="I2223" s="1689"/>
      <c r="J2223" s="1689"/>
      <c r="K2223" s="1689"/>
      <c r="L2223" s="1689"/>
      <c r="M2223" s="1689">
        <f t="shared" si="391"/>
        <v>0</v>
      </c>
      <c r="N2223" s="1689"/>
      <c r="O2223" s="1689"/>
      <c r="P2223" s="1689">
        <f t="shared" si="387"/>
        <v>0</v>
      </c>
      <c r="Q2223" s="985"/>
      <c r="R2223" s="985"/>
      <c r="S2223" s="985"/>
      <c r="T2223" s="1858">
        <f t="shared" si="390"/>
        <v>0</v>
      </c>
    </row>
    <row r="2224" spans="1:20" ht="22.2" hidden="1" customHeight="1">
      <c r="A2224" s="1444">
        <f>COUNTIF($C$12:C2224,"x")</f>
        <v>60</v>
      </c>
      <c r="B2224" s="1456" t="s">
        <v>1487</v>
      </c>
      <c r="C2224" s="966" t="str">
        <f t="shared" si="386"/>
        <v xml:space="preserve"> </v>
      </c>
      <c r="D2224" s="1411"/>
      <c r="E2224" s="976"/>
      <c r="F2224" s="988" t="str">
        <f>VLOOKUP($B2224,DG!A:D,DG!$C$2,)</f>
        <v>Ống nối dây cỡ 50mm2</v>
      </c>
      <c r="G2224" s="976" t="str">
        <f>VLOOKUP($B2224,DG!A:D,DG!$D$2,)</f>
        <v>cái</v>
      </c>
      <c r="H2224" s="1689">
        <f t="shared" si="389"/>
        <v>0</v>
      </c>
      <c r="I2224" s="1689"/>
      <c r="J2224" s="1689"/>
      <c r="K2224" s="1689"/>
      <c r="L2224" s="1689"/>
      <c r="M2224" s="1689">
        <f>H2224</f>
        <v>0</v>
      </c>
      <c r="N2224" s="1689"/>
      <c r="O2224" s="1689"/>
      <c r="P2224" s="1689">
        <f t="shared" si="387"/>
        <v>0</v>
      </c>
      <c r="Q2224" s="985"/>
      <c r="R2224" s="985"/>
      <c r="S2224" s="985"/>
      <c r="T2224" s="1858">
        <f t="shared" si="390"/>
        <v>0</v>
      </c>
    </row>
    <row r="2225" spans="1:20" ht="22.2" hidden="1" customHeight="1">
      <c r="A2225" s="1444">
        <f>COUNTIF($C$12:C2225,"x")</f>
        <v>60</v>
      </c>
      <c r="B2225" s="1456" t="s">
        <v>1488</v>
      </c>
      <c r="C2225" s="966" t="str">
        <f t="shared" si="386"/>
        <v xml:space="preserve"> </v>
      </c>
      <c r="D2225" s="1411">
        <f>ROUND(D2209/2000,0)</f>
        <v>0</v>
      </c>
      <c r="E2225" s="976"/>
      <c r="F2225" s="988" t="str">
        <f>VLOOKUP($B2225,DG!A:D,DG!$C$2,)</f>
        <v>Ống nối dây cỡ 70mm2</v>
      </c>
      <c r="G2225" s="976" t="str">
        <f>VLOOKUP($B2225,DG!A:D,DG!$D$2,)</f>
        <v>cái</v>
      </c>
      <c r="H2225" s="1689">
        <f t="shared" si="389"/>
        <v>0</v>
      </c>
      <c r="I2225" s="1689"/>
      <c r="J2225" s="1689"/>
      <c r="K2225" s="1689"/>
      <c r="L2225" s="1689"/>
      <c r="M2225" s="1689">
        <f>H2225</f>
        <v>0</v>
      </c>
      <c r="N2225" s="1689"/>
      <c r="O2225" s="1689"/>
      <c r="P2225" s="1689">
        <f t="shared" si="387"/>
        <v>0</v>
      </c>
      <c r="Q2225" s="985"/>
      <c r="R2225" s="985"/>
      <c r="S2225" s="985"/>
      <c r="T2225" s="1858">
        <f t="shared" si="390"/>
        <v>0</v>
      </c>
    </row>
    <row r="2226" spans="1:20" ht="22.2" hidden="1" customHeight="1">
      <c r="A2226" s="1444">
        <f>COUNTIF($C$12:C2226,"x")</f>
        <v>60</v>
      </c>
      <c r="B2226" s="1456" t="s">
        <v>1570</v>
      </c>
      <c r="C2226" s="966" t="str">
        <f t="shared" si="386"/>
        <v xml:space="preserve"> </v>
      </c>
      <c r="D2226" s="1411"/>
      <c r="E2226" s="976"/>
      <c r="F2226" s="988" t="str">
        <f>VLOOKUP($B2226,DG!A:D,DG!$C$2,)</f>
        <v>Biển số - Bảng nguy hiểm</v>
      </c>
      <c r="G2226" s="976" t="str">
        <f>VLOOKUP($B2226,DG!A:D,DG!$D$2,)</f>
        <v>cái</v>
      </c>
      <c r="H2226" s="1689">
        <f t="shared" si="389"/>
        <v>0</v>
      </c>
      <c r="I2226" s="1689"/>
      <c r="J2226" s="1689"/>
      <c r="K2226" s="1689"/>
      <c r="L2226" s="1689"/>
      <c r="M2226" s="1689">
        <f>H2226</f>
        <v>0</v>
      </c>
      <c r="N2226" s="1689"/>
      <c r="O2226" s="1689"/>
      <c r="P2226" s="1689">
        <f t="shared" si="387"/>
        <v>0</v>
      </c>
      <c r="Q2226" s="985"/>
      <c r="R2226" s="985"/>
      <c r="S2226" s="985"/>
      <c r="T2226" s="1858">
        <f t="shared" si="390"/>
        <v>0</v>
      </c>
    </row>
    <row r="2227" spans="1:20" ht="22.2" hidden="1" customHeight="1">
      <c r="A2227" s="1444">
        <f>COUNTIF($C$12:C2227,"x")</f>
        <v>60</v>
      </c>
      <c r="B2227" s="1456" t="s">
        <v>229</v>
      </c>
      <c r="C2227" s="966" t="str">
        <f t="shared" si="386"/>
        <v xml:space="preserve"> </v>
      </c>
      <c r="D2227" s="1411">
        <f>SUM(D2229:D2229)*5/1.4</f>
        <v>0</v>
      </c>
      <c r="E2227" s="976"/>
      <c r="F2227" s="988" t="str">
        <f>VLOOKUP($B2227,DG!A:D,DG!$C$2,)</f>
        <v xml:space="preserve">Dây nhôm buộc </v>
      </c>
      <c r="G2227" s="976" t="str">
        <f>VLOOKUP($B2227,DG!A:D,DG!$D$2,)</f>
        <v>kg</v>
      </c>
      <c r="H2227" s="1689">
        <f t="shared" si="389"/>
        <v>0</v>
      </c>
      <c r="I2227" s="1689"/>
      <c r="J2227" s="1689"/>
      <c r="K2227" s="1689"/>
      <c r="L2227" s="1689"/>
      <c r="M2227" s="1689">
        <f>H2227</f>
        <v>0</v>
      </c>
      <c r="N2227" s="1689"/>
      <c r="O2227" s="1689"/>
      <c r="P2227" s="1689">
        <f t="shared" si="387"/>
        <v>0</v>
      </c>
      <c r="Q2227" s="985"/>
      <c r="R2227" s="985"/>
      <c r="S2227" s="985"/>
      <c r="T2227" s="1858">
        <f t="shared" si="390"/>
        <v>0</v>
      </c>
    </row>
    <row r="2228" spans="1:20" ht="22.2" hidden="1" customHeight="1">
      <c r="A2228" s="1444">
        <f>COUNTIF($C$12:C2228,"x")</f>
        <v>60</v>
      </c>
      <c r="B2228" s="1456" t="s">
        <v>451</v>
      </c>
      <c r="C2228" s="966" t="str">
        <f t="shared" si="386"/>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7"/>
        <v>0</v>
      </c>
      <c r="Q2228" s="985"/>
      <c r="R2228" s="985"/>
      <c r="S2228" s="985"/>
      <c r="T2228" s="1858">
        <f t="shared" si="390"/>
        <v>0</v>
      </c>
    </row>
    <row r="2229" spans="1:20" ht="22.2" hidden="1" customHeight="1">
      <c r="A2229" s="1444">
        <f>COUNTIF($C$12:C2229,"x")</f>
        <v>60</v>
      </c>
      <c r="B2229" s="1456" t="s">
        <v>79</v>
      </c>
      <c r="C2229" s="966" t="str">
        <f t="shared" ref="C2229:C2292" si="392">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7"/>
        <v>0</v>
      </c>
      <c r="Q2229" s="985"/>
      <c r="R2229" s="985"/>
      <c r="S2229" s="985"/>
      <c r="T2229" s="1858">
        <f t="shared" si="390"/>
        <v>0</v>
      </c>
    </row>
    <row r="2230" spans="1:20" ht="22.2" hidden="1" customHeight="1">
      <c r="A2230" s="1444">
        <f>COUNTIF($C$12:C2230,"x")</f>
        <v>60</v>
      </c>
      <c r="B2230" s="1456" t="s">
        <v>1269</v>
      </c>
      <c r="C2230" s="966" t="str">
        <f t="shared" si="392"/>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7"/>
        <v>0</v>
      </c>
      <c r="Q2230" s="985"/>
      <c r="R2230" s="985"/>
      <c r="S2230" s="985"/>
      <c r="T2230" s="1858">
        <f t="shared" si="390"/>
        <v>0</v>
      </c>
    </row>
    <row r="2231" spans="1:20" ht="22.2" hidden="1" customHeight="1">
      <c r="A2231" s="1444">
        <f>COUNTIF($C$12:C2231,"x")</f>
        <v>60</v>
      </c>
      <c r="B2231" s="1451" t="s">
        <v>1895</v>
      </c>
      <c r="C2231" s="966" t="str">
        <f t="shared" si="392"/>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7"/>
        <v>0</v>
      </c>
      <c r="Q2231" s="985"/>
      <c r="R2231" s="985"/>
      <c r="S2231" s="985"/>
      <c r="T2231" s="1858">
        <f t="shared" si="390"/>
        <v>0</v>
      </c>
    </row>
    <row r="2232" spans="1:20" ht="22.2" hidden="1" customHeight="1">
      <c r="A2232" s="1444">
        <f>COUNTIF($C$12:C2232,"x")</f>
        <v>60</v>
      </c>
      <c r="B2232" s="1451" t="s">
        <v>125</v>
      </c>
      <c r="C2232" s="966" t="str">
        <f t="shared" si="392"/>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7"/>
        <v>0</v>
      </c>
      <c r="Q2232" s="985"/>
      <c r="R2232" s="985"/>
      <c r="S2232" s="985"/>
      <c r="T2232" s="1858">
        <f t="shared" si="390"/>
        <v>0</v>
      </c>
    </row>
    <row r="2233" spans="1:20" ht="22.2" hidden="1" customHeight="1">
      <c r="A2233" s="1444">
        <f>COUNTIF($C$12:C2233,"x")</f>
        <v>60</v>
      </c>
      <c r="B2233" s="1451" t="s">
        <v>452</v>
      </c>
      <c r="C2233" s="966" t="str">
        <f t="shared" si="392"/>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7"/>
        <v>0</v>
      </c>
      <c r="Q2233" s="990"/>
      <c r="R2233" s="990"/>
      <c r="S2233" s="990"/>
      <c r="T2233" s="1858">
        <f t="shared" si="390"/>
        <v>0</v>
      </c>
    </row>
    <row r="2234" spans="1:20" ht="22.2" hidden="1" customHeight="1">
      <c r="A2234" s="1444">
        <f>COUNTIF($C$12:C2234,"x")</f>
        <v>60</v>
      </c>
      <c r="B2234" s="1451" t="s">
        <v>689</v>
      </c>
      <c r="C2234" s="966" t="str">
        <f t="shared" si="392"/>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7"/>
        <v>0</v>
      </c>
      <c r="Q2234" s="985"/>
      <c r="R2234" s="985"/>
      <c r="S2234" s="985"/>
      <c r="T2234" s="1858">
        <f t="shared" si="390"/>
        <v>0</v>
      </c>
    </row>
    <row r="2235" spans="1:20" ht="22.2" hidden="1" customHeight="1">
      <c r="A2235" s="1444">
        <f>COUNTIF($C$12:C2235,"x")</f>
        <v>60</v>
      </c>
      <c r="B2235" s="1451" t="s">
        <v>352</v>
      </c>
      <c r="C2235" s="966" t="str">
        <f t="shared" si="392"/>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7"/>
        <v>0</v>
      </c>
      <c r="Q2235" s="985"/>
      <c r="R2235" s="985"/>
      <c r="S2235" s="985"/>
      <c r="T2235" s="1858">
        <f t="shared" si="390"/>
        <v>0</v>
      </c>
    </row>
    <row r="2236" spans="1:20" ht="22.2" hidden="1" customHeight="1">
      <c r="A2236" s="1444">
        <f>COUNTIF($C$12:C2236,"x")</f>
        <v>60</v>
      </c>
      <c r="B2236" s="1451" t="s">
        <v>355</v>
      </c>
      <c r="C2236" s="966" t="str">
        <f t="shared" si="392"/>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7"/>
        <v>0</v>
      </c>
      <c r="Q2236" s="990"/>
      <c r="R2236" s="990"/>
      <c r="S2236" s="990"/>
      <c r="T2236" s="1858">
        <f t="shared" si="390"/>
        <v>0</v>
      </c>
    </row>
    <row r="2237" spans="1:20" ht="22.2" hidden="1" customHeight="1">
      <c r="A2237" s="1444">
        <f>COUNTIF($C$12:C2237,"x")</f>
        <v>60</v>
      </c>
      <c r="B2237" s="1451" t="s">
        <v>1902</v>
      </c>
      <c r="C2237" s="966" t="str">
        <f t="shared" si="392"/>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7"/>
        <v>0</v>
      </c>
      <c r="Q2237" s="990"/>
      <c r="R2237" s="990"/>
      <c r="S2237" s="990"/>
      <c r="T2237" s="1858">
        <f t="shared" si="390"/>
        <v>0</v>
      </c>
    </row>
    <row r="2238" spans="1:20" ht="22.2" hidden="1" customHeight="1">
      <c r="A2238" s="1444">
        <f>COUNTIF($C$12:C2238,"x")</f>
        <v>60</v>
      </c>
      <c r="B2238" s="1462" t="s">
        <v>356</v>
      </c>
      <c r="C2238" s="966" t="str">
        <f t="shared" si="392"/>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7"/>
        <v>0</v>
      </c>
      <c r="Q2238" s="990"/>
      <c r="R2238" s="990"/>
      <c r="S2238" s="990"/>
      <c r="T2238" s="1858">
        <f t="shared" si="390"/>
        <v>0</v>
      </c>
    </row>
    <row r="2239" spans="1:20" ht="22.2" hidden="1" customHeight="1">
      <c r="A2239" s="1444">
        <f>COUNTIF($C$12:C2239,"x")</f>
        <v>60</v>
      </c>
      <c r="B2239" s="1462" t="s">
        <v>357</v>
      </c>
      <c r="C2239" s="966" t="str">
        <f t="shared" si="392"/>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7"/>
        <v>0</v>
      </c>
      <c r="Q2239" s="990"/>
      <c r="R2239" s="990"/>
      <c r="S2239" s="990"/>
      <c r="T2239" s="1858">
        <f t="shared" si="390"/>
        <v>0</v>
      </c>
    </row>
    <row r="2240" spans="1:20" ht="22.2" hidden="1" customHeight="1">
      <c r="A2240" s="1444">
        <f>COUNTIF($C$12:C2240,"x")</f>
        <v>60</v>
      </c>
      <c r="B2240" s="1460" t="s">
        <v>606</v>
      </c>
      <c r="C2240" s="966" t="str">
        <f t="shared" si="392"/>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7"/>
        <v>0</v>
      </c>
      <c r="Q2240" s="990"/>
      <c r="R2240" s="990"/>
      <c r="S2240" s="990"/>
      <c r="T2240" s="1858">
        <f t="shared" si="390"/>
        <v>0</v>
      </c>
    </row>
    <row r="2241" spans="1:20" ht="22.2" hidden="1" customHeight="1">
      <c r="A2241" s="1444">
        <f>COUNTIF($C$12:C2241,"x")</f>
        <v>60</v>
      </c>
      <c r="B2241" s="1448" t="s">
        <v>162</v>
      </c>
      <c r="C2241" s="966" t="str">
        <f t="shared" si="392"/>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90"/>
        <v>0</v>
      </c>
    </row>
    <row r="2242" spans="1:20" ht="22.2" hidden="1" customHeight="1">
      <c r="A2242" s="1444">
        <f>COUNTIF($C$12:C2242,"x")</f>
        <v>60</v>
      </c>
      <c r="B2242" s="1451" t="s">
        <v>928</v>
      </c>
      <c r="C2242" s="966" t="str">
        <f t="shared" si="392"/>
        <v xml:space="preserve"> </v>
      </c>
      <c r="D2242" s="1417">
        <f>ROUND(E2242*1.02,0)</f>
        <v>0</v>
      </c>
      <c r="E2242" s="993">
        <f>PPHTCS!C74</f>
        <v>0</v>
      </c>
      <c r="F2242" s="988" t="str">
        <f>VLOOKUP($B2242,DG!A:D,DG!$C$2,)</f>
        <v>Cáp Triplex 3x16</v>
      </c>
      <c r="G2242" s="976" t="str">
        <f>VLOOKUP($B2242,DG!A:D,DG!$D$2,)</f>
        <v>m</v>
      </c>
      <c r="H2242" s="1689">
        <f t="shared" ref="H2242:H2288" si="393">D2242</f>
        <v>0</v>
      </c>
      <c r="I2242" s="1689"/>
      <c r="J2242" s="1689"/>
      <c r="K2242" s="1689"/>
      <c r="L2242" s="1689"/>
      <c r="M2242" s="1689"/>
      <c r="N2242" s="1689"/>
      <c r="O2242" s="1689"/>
      <c r="P2242" s="1689">
        <f t="shared" si="387"/>
        <v>0</v>
      </c>
      <c r="Q2242" s="985"/>
      <c r="R2242" s="985"/>
      <c r="S2242" s="985"/>
      <c r="T2242" s="1858">
        <f t="shared" si="390"/>
        <v>0</v>
      </c>
    </row>
    <row r="2243" spans="1:20" ht="22.2" hidden="1" customHeight="1">
      <c r="A2243" s="1444">
        <f>COUNTIF($C$12:C2243,"x")</f>
        <v>60</v>
      </c>
      <c r="B2243" s="1451" t="s">
        <v>1683</v>
      </c>
      <c r="C2243" s="966" t="str">
        <f t="shared" si="392"/>
        <v xml:space="preserve"> </v>
      </c>
      <c r="D2243" s="1417">
        <f>ROUND(E2243*1.02,0)</f>
        <v>0</v>
      </c>
      <c r="E2243" s="993">
        <f>PPHTCS!C75</f>
        <v>0</v>
      </c>
      <c r="F2243" s="988" t="str">
        <f>VLOOKUP($B2243,DG!A:D,DG!$C$2,)</f>
        <v>Cáp Quadruplex 4x11</v>
      </c>
      <c r="G2243" s="976" t="str">
        <f>VLOOKUP($B2243,DG!A:D,DG!$D$2,)</f>
        <v>m</v>
      </c>
      <c r="H2243" s="1689">
        <f t="shared" si="393"/>
        <v>0</v>
      </c>
      <c r="I2243" s="1689"/>
      <c r="J2243" s="1689"/>
      <c r="K2243" s="1689"/>
      <c r="L2243" s="1689"/>
      <c r="M2243" s="1689"/>
      <c r="N2243" s="1689"/>
      <c r="O2243" s="1689"/>
      <c r="P2243" s="1689">
        <f t="shared" si="387"/>
        <v>0</v>
      </c>
      <c r="Q2243" s="985"/>
      <c r="R2243" s="985"/>
      <c r="S2243" s="985"/>
      <c r="T2243" s="1858">
        <f t="shared" si="390"/>
        <v>0</v>
      </c>
    </row>
    <row r="2244" spans="1:20" ht="22.2" hidden="1" customHeight="1">
      <c r="A2244" s="1444">
        <f>COUNTIF($C$12:C2244,"x")</f>
        <v>60</v>
      </c>
      <c r="B2244" s="1451" t="s">
        <v>4</v>
      </c>
      <c r="C2244" s="966" t="str">
        <f t="shared" si="392"/>
        <v xml:space="preserve"> </v>
      </c>
      <c r="D2244" s="1417">
        <f>ROUND(E2244*1.02,0)</f>
        <v>0</v>
      </c>
      <c r="E2244" s="993">
        <f>PPHTCS!C76</f>
        <v>0</v>
      </c>
      <c r="F2244" s="988" t="str">
        <f>VLOOKUP($B2244,DG!A:D,DG!$C$2,)</f>
        <v>Cáp Quadruplex 4x16</v>
      </c>
      <c r="G2244" s="976" t="str">
        <f>VLOOKUP($B2244,DG!A:D,DG!$D$2,)</f>
        <v>m</v>
      </c>
      <c r="H2244" s="1689">
        <f t="shared" si="393"/>
        <v>0</v>
      </c>
      <c r="I2244" s="1689"/>
      <c r="J2244" s="1689"/>
      <c r="K2244" s="1689"/>
      <c r="L2244" s="1689"/>
      <c r="M2244" s="1689"/>
      <c r="N2244" s="1689"/>
      <c r="O2244" s="1689"/>
      <c r="P2244" s="1689">
        <f t="shared" si="387"/>
        <v>0</v>
      </c>
      <c r="Q2244" s="985"/>
      <c r="R2244" s="985"/>
      <c r="S2244" s="985"/>
      <c r="T2244" s="1858">
        <f t="shared" si="390"/>
        <v>0</v>
      </c>
    </row>
    <row r="2245" spans="1:20" ht="22.2" hidden="1" customHeight="1">
      <c r="A2245" s="1444">
        <f>COUNTIF($C$12:C2245,"x")</f>
        <v>60</v>
      </c>
      <c r="B2245" s="1451" t="s">
        <v>2134</v>
      </c>
      <c r="C2245" s="966" t="str">
        <f t="shared" si="392"/>
        <v xml:space="preserve"> </v>
      </c>
      <c r="D2245" s="1417">
        <f>ROUND(E2245*1.02,0)</f>
        <v>0</v>
      </c>
      <c r="E2245" s="993">
        <f>PPHTCS!C77</f>
        <v>0</v>
      </c>
      <c r="F2245" s="988" t="str">
        <f>VLOOKUP($B2245,DG!A:D,DG!$C$2,)</f>
        <v>Cáp nhôm ABC 4x50mm2</v>
      </c>
      <c r="G2245" s="976" t="str">
        <f>VLOOKUP($B2245,DG!A:D,DG!$D$2,)</f>
        <v>mét</v>
      </c>
      <c r="H2245" s="1689">
        <f t="shared" si="393"/>
        <v>0</v>
      </c>
      <c r="I2245" s="1689"/>
      <c r="J2245" s="1689"/>
      <c r="K2245" s="1689"/>
      <c r="L2245" s="1689"/>
      <c r="M2245" s="1689"/>
      <c r="N2245" s="1689"/>
      <c r="O2245" s="1689"/>
      <c r="P2245" s="1689">
        <f t="shared" si="387"/>
        <v>0</v>
      </c>
      <c r="Q2245" s="985"/>
      <c r="R2245" s="985"/>
      <c r="S2245" s="985"/>
      <c r="T2245" s="1858">
        <f t="shared" si="390"/>
        <v>0</v>
      </c>
    </row>
    <row r="2246" spans="1:20" ht="22.2" hidden="1" customHeight="1">
      <c r="A2246" s="1444">
        <f>COUNTIF($C$12:C2246,"x")</f>
        <v>60</v>
      </c>
      <c r="B2246" s="1451" t="s">
        <v>579</v>
      </c>
      <c r="C2246" s="966" t="str">
        <f t="shared" si="392"/>
        <v xml:space="preserve"> </v>
      </c>
      <c r="D2246" s="1417">
        <f>ROUND(E2246*1.05,0)</f>
        <v>0</v>
      </c>
      <c r="E2246" s="993"/>
      <c r="F2246" s="988" t="str">
        <f>VLOOKUP($B2246,DG!A:D,DG!$C$2,)</f>
        <v>Cáp đồng bọc CV16</v>
      </c>
      <c r="G2246" s="976" t="str">
        <f>VLOOKUP($B2246,DG!A:D,DG!$D$2,)</f>
        <v>mét</v>
      </c>
      <c r="H2246" s="1689">
        <f t="shared" si="393"/>
        <v>0</v>
      </c>
      <c r="I2246" s="1689"/>
      <c r="J2246" s="1689"/>
      <c r="K2246" s="1689"/>
      <c r="L2246" s="1689"/>
      <c r="M2246" s="1689"/>
      <c r="N2246" s="1689"/>
      <c r="O2246" s="1689"/>
      <c r="P2246" s="1689">
        <f t="shared" si="387"/>
        <v>0</v>
      </c>
      <c r="Q2246" s="985"/>
      <c r="R2246" s="985"/>
      <c r="S2246" s="985"/>
      <c r="T2246" s="1858">
        <f t="shared" si="390"/>
        <v>0</v>
      </c>
    </row>
    <row r="2247" spans="1:20" ht="22.2" hidden="1" customHeight="1">
      <c r="A2247" s="1444">
        <f>COUNTIF($C$12:C2247,"x")</f>
        <v>60</v>
      </c>
      <c r="B2247" s="1451" t="s">
        <v>1368</v>
      </c>
      <c r="C2247" s="966" t="str">
        <f t="shared" si="392"/>
        <v xml:space="preserve"> </v>
      </c>
      <c r="D2247" s="1417">
        <f>ROUND((D2250+D2249*2)*8*1.02,0)</f>
        <v>0</v>
      </c>
      <c r="E2247" s="993"/>
      <c r="F2247" s="988" t="str">
        <f>VLOOKUP($B2247,DG!A:D,DG!$C$2,)&amp;": 8m/ñeøn"</f>
        <v>Cáp đồng mềm CV2,5: 8m/ñeøn</v>
      </c>
      <c r="G2247" s="976" t="str">
        <f>VLOOKUP($B2247,DG!A:D,DG!$D$2,)</f>
        <v>mét</v>
      </c>
      <c r="H2247" s="1689">
        <f t="shared" si="393"/>
        <v>0</v>
      </c>
      <c r="I2247" s="1689"/>
      <c r="J2247" s="1689"/>
      <c r="K2247" s="1689"/>
      <c r="L2247" s="1689"/>
      <c r="M2247" s="1689"/>
      <c r="N2247" s="1689"/>
      <c r="O2247" s="1689"/>
      <c r="P2247" s="1689">
        <f t="shared" si="387"/>
        <v>0</v>
      </c>
      <c r="Q2247" s="985"/>
      <c r="R2247" s="985"/>
      <c r="S2247" s="985"/>
      <c r="T2247" s="1858">
        <f t="shared" si="390"/>
        <v>0</v>
      </c>
    </row>
    <row r="2248" spans="1:20" ht="22.2" hidden="1" customHeight="1">
      <c r="A2248" s="1444">
        <f>COUNTIF($C$12:C2248,"x")</f>
        <v>60</v>
      </c>
      <c r="B2248" s="1451" t="s">
        <v>8</v>
      </c>
      <c r="C2248" s="966" t="str">
        <f t="shared" si="392"/>
        <v xml:space="preserve"> </v>
      </c>
      <c r="D2248" s="1417">
        <f>ROUND(D2251*5*1.02,0)</f>
        <v>0</v>
      </c>
      <c r="E2248" s="993"/>
      <c r="F2248" s="988" t="str">
        <f>VLOOKUP($B2248,DG!A:D,DG!$C$2,)&amp;": 5m/ñeøn"</f>
        <v>Cáp CVV 2x2,5mm2  : 5m/ñeøn</v>
      </c>
      <c r="G2248" s="976" t="str">
        <f>VLOOKUP($B2248,DG!A:D,DG!$D$2,)</f>
        <v>mét</v>
      </c>
      <c r="H2248" s="1689">
        <f t="shared" si="393"/>
        <v>0</v>
      </c>
      <c r="I2248" s="1689"/>
      <c r="J2248" s="1689"/>
      <c r="K2248" s="1689"/>
      <c r="L2248" s="1689"/>
      <c r="M2248" s="1689"/>
      <c r="N2248" s="1689"/>
      <c r="O2248" s="1689"/>
      <c r="P2248" s="1689">
        <f t="shared" si="387"/>
        <v>0</v>
      </c>
      <c r="Q2248" s="985"/>
      <c r="R2248" s="985"/>
      <c r="S2248" s="985"/>
      <c r="T2248" s="1858">
        <f t="shared" si="390"/>
        <v>0</v>
      </c>
    </row>
    <row r="2249" spans="1:20" ht="22.2" hidden="1" customHeight="1">
      <c r="A2249" s="1444">
        <f>COUNTIF($C$12:C2249,"x")</f>
        <v>60</v>
      </c>
      <c r="B2249" s="1451" t="s">
        <v>1245</v>
      </c>
      <c r="C2249" s="966" t="str">
        <f t="shared" si="392"/>
        <v xml:space="preserve"> </v>
      </c>
      <c r="D2249" s="1411">
        <f>PPHTCS!Z69</f>
        <v>0</v>
      </c>
      <c r="E2249" s="993"/>
      <c r="F2249" s="1274" t="str">
        <f>VLOOKUP($B2249,DG!A:D,DG!$C$2,)</f>
        <v>Cần đèn STK D60 đôi cao 2m vươn 1,5m nghiêng 15 độ</v>
      </c>
      <c r="G2249" s="1290" t="str">
        <f>VLOOKUP($B2249,DG!A:D,DG!$D$2,)</f>
        <v>cần</v>
      </c>
      <c r="H2249" s="1692">
        <f t="shared" si="393"/>
        <v>0</v>
      </c>
      <c r="I2249" s="1692"/>
      <c r="J2249" s="1692"/>
      <c r="K2249" s="1692"/>
      <c r="L2249" s="1692"/>
      <c r="M2249" s="1692"/>
      <c r="N2249" s="1692"/>
      <c r="O2249" s="1692"/>
      <c r="P2249" s="1689">
        <f t="shared" si="387"/>
        <v>0</v>
      </c>
      <c r="Q2249" s="1291"/>
      <c r="R2249" s="1291"/>
      <c r="S2249" s="1291"/>
      <c r="T2249" s="1858">
        <f t="shared" si="390"/>
        <v>0</v>
      </c>
    </row>
    <row r="2250" spans="1:20" ht="22.2" hidden="1" customHeight="1">
      <c r="A2250" s="1444">
        <f>COUNTIF($C$12:C2250,"x")</f>
        <v>60</v>
      </c>
      <c r="B2250" s="1451" t="s">
        <v>839</v>
      </c>
      <c r="C2250" s="966" t="str">
        <f t="shared" si="392"/>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3"/>
        <v>0</v>
      </c>
      <c r="I2250" s="1692"/>
      <c r="J2250" s="1692"/>
      <c r="K2250" s="1692"/>
      <c r="L2250" s="1692"/>
      <c r="M2250" s="1692"/>
      <c r="N2250" s="1692"/>
      <c r="O2250" s="1692"/>
      <c r="P2250" s="1689">
        <f t="shared" si="387"/>
        <v>0</v>
      </c>
      <c r="Q2250" s="1291"/>
      <c r="R2250" s="1291"/>
      <c r="S2250" s="1291"/>
      <c r="T2250" s="1858">
        <f t="shared" si="390"/>
        <v>0</v>
      </c>
    </row>
    <row r="2251" spans="1:20" ht="22.2" hidden="1" customHeight="1">
      <c r="A2251" s="1444">
        <f>COUNTIF($C$12:C2251,"x")</f>
        <v>60</v>
      </c>
      <c r="B2251" s="1451" t="s">
        <v>2136</v>
      </c>
      <c r="C2251" s="966" t="str">
        <f t="shared" si="392"/>
        <v xml:space="preserve"> </v>
      </c>
      <c r="D2251" s="1411">
        <f>PPHTCS!AB69</f>
        <v>0</v>
      </c>
      <c r="E2251" s="976"/>
      <c r="F2251" s="988" t="str">
        <f>VLOOKUP($B2251,DG!A:D,DG!$C$2,)</f>
        <v>Cần đèn STK D60 đơn cao 1,7m vươn 2,8m (CĐT cung cấp)</v>
      </c>
      <c r="G2251" s="976" t="str">
        <f>VLOOKUP($B2251,DG!A:D,DG!$D$2,)</f>
        <v>cần</v>
      </c>
      <c r="H2251" s="1692">
        <f t="shared" si="393"/>
        <v>0</v>
      </c>
      <c r="I2251" s="1692"/>
      <c r="J2251" s="1692"/>
      <c r="K2251" s="1692"/>
      <c r="L2251" s="1692"/>
      <c r="M2251" s="1692"/>
      <c r="N2251" s="1692"/>
      <c r="O2251" s="1692"/>
      <c r="P2251" s="1689">
        <f t="shared" si="387"/>
        <v>0</v>
      </c>
      <c r="Q2251" s="1291"/>
      <c r="R2251" s="1291"/>
      <c r="S2251" s="1291"/>
      <c r="T2251" s="1858">
        <f t="shared" si="390"/>
        <v>0</v>
      </c>
    </row>
    <row r="2252" spans="1:20" ht="22.2" hidden="1" customHeight="1">
      <c r="A2252" s="1444">
        <f>COUNTIF($C$12:C2252,"x")</f>
        <v>60</v>
      </c>
      <c r="B2252" s="1451" t="s">
        <v>320</v>
      </c>
      <c r="C2252" s="966" t="str">
        <f t="shared" si="392"/>
        <v xml:space="preserve"> </v>
      </c>
      <c r="D2252" s="1411">
        <f>PPHTCS!AD69</f>
        <v>0</v>
      </c>
      <c r="E2252" s="976"/>
      <c r="F2252" s="988" t="str">
        <f>VLOOKUP($B2252,DG!A:D,DG!$C$2,)</f>
        <v>Choá đèn 73FS 10 + bóng OSAM-250W + tụ điện + ballast</v>
      </c>
      <c r="G2252" s="976" t="str">
        <f>VLOOKUP($B2252,DG!A:D,DG!$D$2,)</f>
        <v>bộ</v>
      </c>
      <c r="H2252" s="1692">
        <f t="shared" si="393"/>
        <v>0</v>
      </c>
      <c r="I2252" s="1692"/>
      <c r="J2252" s="1692"/>
      <c r="K2252" s="1692"/>
      <c r="L2252" s="1692"/>
      <c r="M2252" s="1692"/>
      <c r="N2252" s="1692"/>
      <c r="O2252" s="1692"/>
      <c r="P2252" s="1689">
        <f t="shared" si="387"/>
        <v>0</v>
      </c>
      <c r="Q2252" s="1291"/>
      <c r="R2252" s="1291"/>
      <c r="S2252" s="1291"/>
      <c r="T2252" s="1858">
        <f t="shared" si="390"/>
        <v>0</v>
      </c>
    </row>
    <row r="2253" spans="1:20" ht="22.2" hidden="1" customHeight="1">
      <c r="A2253" s="1444">
        <f>COUNTIF($C$12:C2253,"x")</f>
        <v>60</v>
      </c>
      <c r="B2253" s="1451" t="s">
        <v>2059</v>
      </c>
      <c r="C2253" s="966" t="str">
        <f t="shared" si="392"/>
        <v xml:space="preserve"> </v>
      </c>
      <c r="D2253" s="1431"/>
      <c r="E2253" s="1294" t="str">
        <f>VLOOKUP($B2253,DG!A:D,DG!$B$2,)</f>
        <v>CS4.09.021</v>
      </c>
      <c r="F2253" s="1276" t="str">
        <f>VLOOKUP($B2253,DG!A:D,DG!$C$2,)</f>
        <v>Tủ điều khiển chiếu sáng</v>
      </c>
      <c r="G2253" s="1294" t="str">
        <f>VLOOKUP($B2253,DG!A:D,DG!$D$2,)</f>
        <v>cái</v>
      </c>
      <c r="H2253" s="1692">
        <f t="shared" si="393"/>
        <v>0</v>
      </c>
      <c r="I2253" s="1692"/>
      <c r="J2253" s="1692"/>
      <c r="K2253" s="1692"/>
      <c r="L2253" s="1692"/>
      <c r="M2253" s="1692"/>
      <c r="N2253" s="1692"/>
      <c r="O2253" s="1692"/>
      <c r="P2253" s="1689">
        <f t="shared" si="387"/>
        <v>0</v>
      </c>
      <c r="Q2253" s="1291"/>
      <c r="R2253" s="1291"/>
      <c r="S2253" s="1291"/>
      <c r="T2253" s="1858">
        <f t="shared" si="390"/>
        <v>0</v>
      </c>
    </row>
    <row r="2254" spans="1:20" ht="22.2" hidden="1" customHeight="1">
      <c r="A2254" s="1444">
        <f>COUNTIF($C$12:C2254,"x")</f>
        <v>60</v>
      </c>
      <c r="B2254" s="1451" t="s">
        <v>2009</v>
      </c>
      <c r="C2254" s="966" t="str">
        <f t="shared" si="392"/>
        <v xml:space="preserve"> </v>
      </c>
      <c r="D2254" s="1431">
        <f>D2253*12</f>
        <v>0</v>
      </c>
      <c r="E2254" s="1294"/>
      <c r="F2254" s="1276" t="str">
        <f>VLOOKUP($B2254,DG!A:D,DG!$C$2,)</f>
        <v>Ống PVC D60x2,8mm</v>
      </c>
      <c r="G2254" s="1294" t="str">
        <f>VLOOKUP($B2254,DG!A:D,DG!$D$2,)</f>
        <v>m</v>
      </c>
      <c r="H2254" s="1692">
        <f t="shared" si="393"/>
        <v>0</v>
      </c>
      <c r="I2254" s="1692"/>
      <c r="J2254" s="1692"/>
      <c r="K2254" s="1692"/>
      <c r="L2254" s="1692"/>
      <c r="M2254" s="1692"/>
      <c r="N2254" s="1692"/>
      <c r="O2254" s="1692"/>
      <c r="P2254" s="1689">
        <f t="shared" si="387"/>
        <v>0</v>
      </c>
      <c r="Q2254" s="1291"/>
      <c r="R2254" s="1291"/>
      <c r="S2254" s="1291"/>
      <c r="T2254" s="1858">
        <f t="shared" si="390"/>
        <v>0</v>
      </c>
    </row>
    <row r="2255" spans="1:20" ht="22.2" hidden="1" customHeight="1">
      <c r="A2255" s="1444">
        <f>COUNTIF($C$12:C2255,"x")</f>
        <v>60</v>
      </c>
      <c r="B2255" s="1451" t="s">
        <v>1465</v>
      </c>
      <c r="C2255" s="966" t="str">
        <f t="shared" si="392"/>
        <v xml:space="preserve"> </v>
      </c>
      <c r="D2255" s="1431">
        <f>D2253*6</f>
        <v>0</v>
      </c>
      <c r="E2255" s="1294">
        <f>VLOOKUP($B2255,DG!A:D,DG!$B$2,)</f>
        <v>0</v>
      </c>
      <c r="F2255" s="1276" t="str">
        <f>VLOOKUP($B2255,DG!A:D,DG!$C$2,)</f>
        <v>Co 90 độ PVC 60</v>
      </c>
      <c r="G2255" s="1294" t="str">
        <f>VLOOKUP($B2255,DG!A:D,DG!$D$2,)</f>
        <v>cái</v>
      </c>
      <c r="H2255" s="1692">
        <f t="shared" si="393"/>
        <v>0</v>
      </c>
      <c r="I2255" s="1692"/>
      <c r="J2255" s="1692"/>
      <c r="K2255" s="1692"/>
      <c r="L2255" s="1692"/>
      <c r="M2255" s="1692"/>
      <c r="N2255" s="1692"/>
      <c r="O2255" s="1692"/>
      <c r="P2255" s="1689">
        <f t="shared" si="387"/>
        <v>0</v>
      </c>
      <c r="Q2255" s="1291"/>
      <c r="R2255" s="1291"/>
      <c r="S2255" s="1291"/>
      <c r="T2255" s="1858">
        <f t="shared" si="390"/>
        <v>0</v>
      </c>
    </row>
    <row r="2256" spans="1:20" ht="22.2" hidden="1" customHeight="1">
      <c r="A2256" s="1444">
        <f>COUNTIF($C$12:C2256,"x")</f>
        <v>60</v>
      </c>
      <c r="B2256" s="1451" t="s">
        <v>1365</v>
      </c>
      <c r="C2256" s="966" t="str">
        <f t="shared" si="392"/>
        <v xml:space="preserve"> </v>
      </c>
      <c r="D2256" s="1431">
        <f>D2253*18</f>
        <v>0</v>
      </c>
      <c r="E2256" s="1294">
        <f>VLOOKUP($B2256,DG!A:D,DG!$B$2,)</f>
        <v>0</v>
      </c>
      <c r="F2256" s="1276" t="str">
        <f>VLOOKUP($B2256,DG!A:D,DG!$C$2,)</f>
        <v>Cáp C/XLPE/DSTA/PVC -0.6/1kV-3x50+35mm2</v>
      </c>
      <c r="G2256" s="1294" t="str">
        <f>VLOOKUP($B2256,DG!A:D,DG!$D$2,)</f>
        <v>mét</v>
      </c>
      <c r="H2256" s="1692">
        <f t="shared" si="393"/>
        <v>0</v>
      </c>
      <c r="I2256" s="1692"/>
      <c r="J2256" s="1692"/>
      <c r="K2256" s="1692"/>
      <c r="L2256" s="1692"/>
      <c r="M2256" s="1692"/>
      <c r="N2256" s="1692"/>
      <c r="O2256" s="1692"/>
      <c r="P2256" s="1689">
        <f t="shared" si="387"/>
        <v>0</v>
      </c>
      <c r="Q2256" s="1291"/>
      <c r="R2256" s="1291"/>
      <c r="S2256" s="1291"/>
      <c r="T2256" s="1858">
        <f t="shared" si="390"/>
        <v>0</v>
      </c>
    </row>
    <row r="2257" spans="1:20" ht="22.2" hidden="1" customHeight="1">
      <c r="A2257" s="1444">
        <f>COUNTIF($C$12:C2257,"x")</f>
        <v>60</v>
      </c>
      <c r="B2257" s="1451" t="s">
        <v>1846</v>
      </c>
      <c r="C2257" s="966" t="str">
        <f t="shared" si="392"/>
        <v xml:space="preserve"> </v>
      </c>
      <c r="D2257" s="1431">
        <f>D2253*4</f>
        <v>0</v>
      </c>
      <c r="E2257" s="1294">
        <f>VLOOKUP($B2257,DG!A:D,DG!$B$2,)</f>
        <v>0</v>
      </c>
      <c r="F2257" s="1276" t="str">
        <f>VLOOKUP($B2257,DG!A:D,DG!$C$2,)</f>
        <v>Đầu cáp ngầm hạ thế 3x50</v>
      </c>
      <c r="G2257" s="1294" t="str">
        <f>VLOOKUP($B2257,DG!A:D,DG!$D$2,)</f>
        <v>cái</v>
      </c>
      <c r="H2257" s="1692">
        <f t="shared" si="393"/>
        <v>0</v>
      </c>
      <c r="I2257" s="1692"/>
      <c r="J2257" s="1692"/>
      <c r="K2257" s="1692"/>
      <c r="L2257" s="1692"/>
      <c r="M2257" s="1692"/>
      <c r="N2257" s="1692"/>
      <c r="O2257" s="1692"/>
      <c r="P2257" s="1689">
        <f t="shared" si="387"/>
        <v>0</v>
      </c>
      <c r="Q2257" s="1291"/>
      <c r="R2257" s="1291"/>
      <c r="S2257" s="1291"/>
      <c r="T2257" s="1858">
        <f t="shared" si="390"/>
        <v>0</v>
      </c>
    </row>
    <row r="2258" spans="1:20" ht="22.2" hidden="1" customHeight="1">
      <c r="A2258" s="1444">
        <f>COUNTIF($C$12:C2258,"x")</f>
        <v>60</v>
      </c>
      <c r="B2258" s="1451" t="s">
        <v>1347</v>
      </c>
      <c r="C2258" s="966" t="str">
        <f t="shared" si="392"/>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3"/>
        <v>0</v>
      </c>
      <c r="I2258" s="1689"/>
      <c r="J2258" s="1689"/>
      <c r="K2258" s="1689"/>
      <c r="L2258" s="1689"/>
      <c r="M2258" s="1689"/>
      <c r="N2258" s="1689"/>
      <c r="O2258" s="1689"/>
      <c r="P2258" s="1689">
        <f t="shared" si="387"/>
        <v>0</v>
      </c>
      <c r="Q2258" s="985"/>
      <c r="R2258" s="985"/>
      <c r="S2258" s="985"/>
      <c r="T2258" s="1858">
        <f t="shared" si="390"/>
        <v>0</v>
      </c>
    </row>
    <row r="2259" spans="1:20" ht="22.2" hidden="1" customHeight="1">
      <c r="A2259" s="1444">
        <f>COUNTIF($C$12:C2259,"x")</f>
        <v>60</v>
      </c>
      <c r="B2259" s="1451" t="s">
        <v>2212</v>
      </c>
      <c r="C2259" s="966" t="str">
        <f t="shared" si="392"/>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3"/>
        <v>0</v>
      </c>
      <c r="I2259" s="1689"/>
      <c r="J2259" s="1689"/>
      <c r="K2259" s="1689"/>
      <c r="L2259" s="1689"/>
      <c r="M2259" s="1689"/>
      <c r="N2259" s="1689"/>
      <c r="O2259" s="1689"/>
      <c r="P2259" s="1689">
        <f t="shared" si="387"/>
        <v>0</v>
      </c>
      <c r="Q2259" s="985"/>
      <c r="R2259" s="985"/>
      <c r="S2259" s="985"/>
      <c r="T2259" s="1858">
        <f t="shared" si="390"/>
        <v>0</v>
      </c>
    </row>
    <row r="2260" spans="1:20" ht="22.2" hidden="1" customHeight="1">
      <c r="A2260" s="1444">
        <f>COUNTIF($C$12:C2260,"x")</f>
        <v>60</v>
      </c>
      <c r="B2260" s="1451" t="s">
        <v>819</v>
      </c>
      <c r="C2260" s="966" t="str">
        <f t="shared" si="392"/>
        <v xml:space="preserve"> </v>
      </c>
      <c r="D2260" s="1411">
        <f>D2259*6</f>
        <v>0</v>
      </c>
      <c r="E2260" s="976" t="str">
        <f>VLOOKUP($B2260,DG!A:D,DG!$B$2,)</f>
        <v>03.4001</v>
      </c>
      <c r="F2260" s="988" t="str">
        <f>VLOOKUP($B2260,DG!A:D,DG!$C$2,)</f>
        <v>Đầu cosse ép Cu-Al 16mm2</v>
      </c>
      <c r="G2260" s="976" t="str">
        <f>VLOOKUP($B2260,DG!A:D,DG!$D$2,)</f>
        <v>cái</v>
      </c>
      <c r="H2260" s="1689">
        <f t="shared" si="393"/>
        <v>0</v>
      </c>
      <c r="I2260" s="1689"/>
      <c r="J2260" s="1689"/>
      <c r="K2260" s="1689"/>
      <c r="L2260" s="1689"/>
      <c r="M2260" s="1689"/>
      <c r="N2260" s="1689"/>
      <c r="O2260" s="1689"/>
      <c r="P2260" s="1689">
        <f t="shared" si="387"/>
        <v>0</v>
      </c>
      <c r="Q2260" s="985"/>
      <c r="R2260" s="985"/>
      <c r="S2260" s="985"/>
      <c r="T2260" s="1858">
        <f t="shared" si="390"/>
        <v>0</v>
      </c>
    </row>
    <row r="2261" spans="1:20" ht="22.2" hidden="1" customHeight="1">
      <c r="A2261" s="1444">
        <f>COUNTIF($C$12:C2261,"x")</f>
        <v>60</v>
      </c>
      <c r="B2261" s="1451" t="s">
        <v>1865</v>
      </c>
      <c r="C2261" s="966" t="str">
        <f t="shared" si="392"/>
        <v xml:space="preserve"> </v>
      </c>
      <c r="D2261" s="1411">
        <f>4*D2249+D2250*2+D2251*2</f>
        <v>0</v>
      </c>
      <c r="E2261" s="976"/>
      <c r="F2261" s="988" t="str">
        <f>VLOOKUP($B2261,DG!A:D,DG!$C$2,)</f>
        <v xml:space="preserve">Đầu cosse ép Cu 2,5mm2 + bao PVC </v>
      </c>
      <c r="G2261" s="976" t="str">
        <f>VLOOKUP($B2261,DG!A:D,DG!$D$2,)</f>
        <v>cái</v>
      </c>
      <c r="H2261" s="1689">
        <f t="shared" si="393"/>
        <v>0</v>
      </c>
      <c r="I2261" s="1689"/>
      <c r="J2261" s="1689"/>
      <c r="K2261" s="1689"/>
      <c r="L2261" s="1689"/>
      <c r="M2261" s="1689"/>
      <c r="N2261" s="1689"/>
      <c r="O2261" s="1689"/>
      <c r="P2261" s="1689">
        <f t="shared" si="387"/>
        <v>0</v>
      </c>
      <c r="Q2261" s="985"/>
      <c r="R2261" s="985"/>
      <c r="S2261" s="985"/>
      <c r="T2261" s="1858">
        <f t="shared" si="390"/>
        <v>0</v>
      </c>
    </row>
    <row r="2262" spans="1:20" ht="22.2" hidden="1" customHeight="1">
      <c r="A2262" s="1444">
        <f>COUNTIF($C$12:C2262,"x")</f>
        <v>60</v>
      </c>
      <c r="B2262" s="1451" t="s">
        <v>969</v>
      </c>
      <c r="C2262" s="966" t="str">
        <f t="shared" si="392"/>
        <v xml:space="preserve"> </v>
      </c>
      <c r="D2262" s="1411">
        <f>D2249*2+D2250</f>
        <v>0</v>
      </c>
      <c r="E2262" s="976">
        <f>VLOOKUP($B2262,DG!A:D,DG!$B$2,)</f>
        <v>0</v>
      </c>
      <c r="F2262" s="988" t="str">
        <f>VLOOKUP($B2262,DG!A:D,DG!$C$2,)</f>
        <v>Cầu chì nhựa trong nhà 5A+ chì 5A</v>
      </c>
      <c r="G2262" s="976" t="str">
        <f>VLOOKUP($B2262,DG!A:D,DG!$D$2,)</f>
        <v>cái</v>
      </c>
      <c r="H2262" s="1689">
        <f t="shared" si="393"/>
        <v>0</v>
      </c>
      <c r="I2262" s="1689"/>
      <c r="J2262" s="1689"/>
      <c r="K2262" s="1689"/>
      <c r="L2262" s="1689"/>
      <c r="M2262" s="1689"/>
      <c r="N2262" s="1689"/>
      <c r="O2262" s="1689"/>
      <c r="P2262" s="1689">
        <f t="shared" si="387"/>
        <v>0</v>
      </c>
      <c r="Q2262" s="985"/>
      <c r="R2262" s="985"/>
      <c r="S2262" s="985"/>
      <c r="T2262" s="1858">
        <f t="shared" si="390"/>
        <v>0</v>
      </c>
    </row>
    <row r="2263" spans="1:20" ht="22.2" hidden="1" customHeight="1">
      <c r="A2263" s="1444">
        <f>COUNTIF($C$12:C2263,"x")</f>
        <v>60</v>
      </c>
      <c r="B2263" s="1451" t="s">
        <v>622</v>
      </c>
      <c r="C2263" s="966" t="str">
        <f t="shared" si="392"/>
        <v xml:space="preserve"> </v>
      </c>
      <c r="D2263" s="1411">
        <f>D2265</f>
        <v>0</v>
      </c>
      <c r="E2263" s="976">
        <f>VLOOKUP($B2263,DG!A:D,DG!$B$2,)</f>
        <v>0</v>
      </c>
      <c r="F2263" s="988" t="str">
        <f>VLOOKUP($B2263,DG!A:D,DG!$C$2,)</f>
        <v>Tấm bakelit hay nhựa cách điện 600V (200x60x6)</v>
      </c>
      <c r="G2263" s="976" t="str">
        <f>VLOOKUP($B2263,DG!A:D,DG!$D$2,)</f>
        <v>cái</v>
      </c>
      <c r="H2263" s="1689">
        <f t="shared" si="393"/>
        <v>0</v>
      </c>
      <c r="I2263" s="1689"/>
      <c r="J2263" s="1689"/>
      <c r="K2263" s="1689"/>
      <c r="L2263" s="1689"/>
      <c r="M2263" s="1689"/>
      <c r="N2263" s="1689"/>
      <c r="O2263" s="1689"/>
      <c r="P2263" s="1689">
        <f t="shared" si="387"/>
        <v>0</v>
      </c>
      <c r="Q2263" s="985"/>
      <c r="R2263" s="985"/>
      <c r="S2263" s="985"/>
      <c r="T2263" s="1858">
        <f t="shared" si="390"/>
        <v>0</v>
      </c>
    </row>
    <row r="2264" spans="1:20" ht="22.2" hidden="1" customHeight="1">
      <c r="A2264" s="1444">
        <f>COUNTIF($C$12:C2264,"x")</f>
        <v>60</v>
      </c>
      <c r="B2264" s="1451" t="s">
        <v>916</v>
      </c>
      <c r="C2264" s="966" t="str">
        <f t="shared" si="392"/>
        <v xml:space="preserve"> </v>
      </c>
      <c r="D2264" s="1411">
        <f>D2263*4</f>
        <v>0</v>
      </c>
      <c r="E2264" s="976">
        <f>VLOOKUP($B2264,DG!A:D,DG!$B$2,)</f>
        <v>0</v>
      </c>
      <c r="F2264" s="988" t="str">
        <f>VLOOKUP($B2264,DG!A:D,DG!$C$2,)</f>
        <v>Boulon thau 12x50 + 2 long đền vuông D14-50x50x3/Zn</v>
      </c>
      <c r="G2264" s="976" t="str">
        <f>VLOOKUP($B2264,DG!A:D,DG!$D$2,)</f>
        <v>bộ</v>
      </c>
      <c r="H2264" s="1689">
        <f t="shared" si="393"/>
        <v>0</v>
      </c>
      <c r="I2264" s="1689"/>
      <c r="J2264" s="1689"/>
      <c r="K2264" s="1689"/>
      <c r="L2264" s="1689"/>
      <c r="M2264" s="1689"/>
      <c r="N2264" s="1689"/>
      <c r="O2264" s="1689"/>
      <c r="P2264" s="1689">
        <f t="shared" si="387"/>
        <v>0</v>
      </c>
      <c r="Q2264" s="985"/>
      <c r="R2264" s="985"/>
      <c r="S2264" s="985"/>
      <c r="T2264" s="1858">
        <f t="shared" si="390"/>
        <v>0</v>
      </c>
    </row>
    <row r="2265" spans="1:20" ht="22.2" hidden="1" customHeight="1">
      <c r="A2265" s="1444">
        <f>COUNTIF($C$12:C2265,"x")</f>
        <v>60</v>
      </c>
      <c r="B2265" s="1451" t="s">
        <v>1508</v>
      </c>
      <c r="C2265" s="966" t="str">
        <f t="shared" si="392"/>
        <v xml:space="preserve"> </v>
      </c>
      <c r="D2265" s="1411"/>
      <c r="E2265" s="976">
        <f>VLOOKUP($B2265,DG!A:D,DG!$B$2,)</f>
        <v>0</v>
      </c>
      <c r="F2265" s="988" t="str">
        <f>VLOOKUP($B2265,DG!A:D,DG!$C$2,)</f>
        <v>Cọc tiếp đất Þ 16- 2,4m + kẹp cọc mạ đồng</v>
      </c>
      <c r="G2265" s="976" t="str">
        <f>VLOOKUP($B2265,DG!A:D,DG!$D$2,)</f>
        <v>bộ</v>
      </c>
      <c r="H2265" s="1689">
        <f t="shared" si="393"/>
        <v>0</v>
      </c>
      <c r="I2265" s="1689"/>
      <c r="J2265" s="1689"/>
      <c r="K2265" s="1689"/>
      <c r="L2265" s="1689"/>
      <c r="M2265" s="1689"/>
      <c r="N2265" s="1689"/>
      <c r="O2265" s="1689"/>
      <c r="P2265" s="1689">
        <f t="shared" si="387"/>
        <v>0</v>
      </c>
      <c r="Q2265" s="985"/>
      <c r="R2265" s="985"/>
      <c r="S2265" s="985"/>
      <c r="T2265" s="1858">
        <f t="shared" si="390"/>
        <v>0</v>
      </c>
    </row>
    <row r="2266" spans="1:20" ht="22.2" hidden="1" customHeight="1">
      <c r="A2266" s="1444">
        <f>COUNTIF($C$12:C2266,"x")</f>
        <v>60</v>
      </c>
      <c r="B2266" s="1451" t="s">
        <v>2060</v>
      </c>
      <c r="C2266" s="966" t="str">
        <f t="shared" si="392"/>
        <v xml:space="preserve"> </v>
      </c>
      <c r="D2266" s="1411">
        <f>PPHTCS!BB69</f>
        <v>0</v>
      </c>
      <c r="E2266" s="976">
        <f>VLOOKUP($B2266,DG!A:D,DG!$B$2,)</f>
        <v>0</v>
      </c>
      <c r="F2266" s="988" t="str">
        <f>VLOOKUP($B2266,DG!A:D,DG!$C$2,)</f>
        <v>Kẹp treo cáp ABC4x35mm2</v>
      </c>
      <c r="G2266" s="976" t="str">
        <f>VLOOKUP($B2266,DG!A:D,DG!$D$2,)</f>
        <v>cái</v>
      </c>
      <c r="H2266" s="1689">
        <f t="shared" si="393"/>
        <v>0</v>
      </c>
      <c r="I2266" s="1689"/>
      <c r="J2266" s="1689"/>
      <c r="K2266" s="1689"/>
      <c r="L2266" s="1689"/>
      <c r="M2266" s="1689"/>
      <c r="N2266" s="1689"/>
      <c r="O2266" s="1689"/>
      <c r="P2266" s="1689">
        <f t="shared" ref="P2266:P2330" si="394">H2266+Q2266-R2266</f>
        <v>0</v>
      </c>
      <c r="Q2266" s="985"/>
      <c r="R2266" s="985"/>
      <c r="S2266" s="985"/>
      <c r="T2266" s="1858">
        <f t="shared" si="390"/>
        <v>0</v>
      </c>
    </row>
    <row r="2267" spans="1:20" ht="22.2" hidden="1" customHeight="1">
      <c r="A2267" s="1444">
        <f>COUNTIF($C$12:C2267,"x")</f>
        <v>60</v>
      </c>
      <c r="B2267" s="1451" t="s">
        <v>2061</v>
      </c>
      <c r="C2267" s="966" t="str">
        <f t="shared" si="392"/>
        <v xml:space="preserve"> </v>
      </c>
      <c r="D2267" s="1411">
        <f>PPHTCS!BE69</f>
        <v>0</v>
      </c>
      <c r="E2267" s="976">
        <f>VLOOKUP($B2267,DG!A:D,DG!$B$2,)</f>
        <v>0</v>
      </c>
      <c r="F2267" s="988" t="str">
        <f>VLOOKUP($B2267,DG!A:D,DG!$C$2,)</f>
        <v>Kẹp ngừng cáp ABC4x35mm2</v>
      </c>
      <c r="G2267" s="976" t="str">
        <f>VLOOKUP($B2267,DG!A:D,DG!$D$2,)</f>
        <v>cái</v>
      </c>
      <c r="H2267" s="1689">
        <f t="shared" si="393"/>
        <v>0</v>
      </c>
      <c r="I2267" s="1689"/>
      <c r="J2267" s="1689"/>
      <c r="K2267" s="1689"/>
      <c r="L2267" s="1689"/>
      <c r="M2267" s="1689"/>
      <c r="N2267" s="1689"/>
      <c r="O2267" s="1689"/>
      <c r="P2267" s="1689">
        <f t="shared" si="394"/>
        <v>0</v>
      </c>
      <c r="Q2267" s="985"/>
      <c r="R2267" s="985"/>
      <c r="S2267" s="985"/>
      <c r="T2267" s="1858">
        <f t="shared" si="390"/>
        <v>0</v>
      </c>
    </row>
    <row r="2268" spans="1:20" ht="22.2" hidden="1" customHeight="1">
      <c r="A2268" s="1444">
        <f>COUNTIF($C$12:C2268,"x")</f>
        <v>60</v>
      </c>
      <c r="B2268" s="1451" t="s">
        <v>1066</v>
      </c>
      <c r="C2268" s="966" t="str">
        <f t="shared" si="392"/>
        <v xml:space="preserve"> </v>
      </c>
      <c r="D2268" s="1431"/>
      <c r="E2268" s="1294"/>
      <c r="F2268" s="1276" t="str">
        <f>VLOOKUP($B2268,DG!A:D,DG!$C$2,)&amp;": ñaáu reõ nhaùnh truï 15"</f>
        <v>Ghíp nối IPC 35-35: ñaáu reõ nhaùnh truï 15</v>
      </c>
      <c r="G2268" s="1294" t="str">
        <f>VLOOKUP($B2268,DG!A:D,DG!$D$2,)</f>
        <v>cái</v>
      </c>
      <c r="H2268" s="1689">
        <f t="shared" si="393"/>
        <v>0</v>
      </c>
      <c r="I2268" s="1689"/>
      <c r="J2268" s="1689"/>
      <c r="K2268" s="1689"/>
      <c r="L2268" s="1689"/>
      <c r="M2268" s="1689"/>
      <c r="N2268" s="1689"/>
      <c r="O2268" s="1689"/>
      <c r="P2268" s="1689">
        <f t="shared" si="394"/>
        <v>0</v>
      </c>
      <c r="Q2268" s="985"/>
      <c r="R2268" s="985"/>
      <c r="S2268" s="985"/>
      <c r="T2268" s="1858">
        <f t="shared" si="390"/>
        <v>0</v>
      </c>
    </row>
    <row r="2269" spans="1:20" ht="22.2" hidden="1" customHeight="1">
      <c r="A2269" s="1444">
        <f>COUNTIF($C$12:C2269,"x")</f>
        <v>60</v>
      </c>
      <c r="B2269" s="1451" t="s">
        <v>1734</v>
      </c>
      <c r="C2269" s="966" t="str">
        <f t="shared" si="392"/>
        <v xml:space="preserve"> </v>
      </c>
      <c r="D2269" s="1411">
        <f>PPHTCS!BK69</f>
        <v>0</v>
      </c>
      <c r="E2269" s="976">
        <f>VLOOKUP($B2269,DG!A:D,DG!$B$2,)</f>
        <v>0</v>
      </c>
      <c r="F2269" s="988" t="str">
        <f>VLOOKUP($B2269,DG!A:D,DG!$C$2,)</f>
        <v>Móc treo chữ A</v>
      </c>
      <c r="G2269" s="976" t="str">
        <f>VLOOKUP($B2269,DG!A:D,DG!$D$2,)</f>
        <v>cái</v>
      </c>
      <c r="H2269" s="1689">
        <f t="shared" si="393"/>
        <v>0</v>
      </c>
      <c r="I2269" s="1689"/>
      <c r="J2269" s="1689"/>
      <c r="K2269" s="1689"/>
      <c r="L2269" s="1689"/>
      <c r="M2269" s="1689"/>
      <c r="N2269" s="1689"/>
      <c r="O2269" s="1689"/>
      <c r="P2269" s="1689">
        <f t="shared" si="394"/>
        <v>0</v>
      </c>
      <c r="Q2269" s="985"/>
      <c r="R2269" s="985"/>
      <c r="S2269" s="985"/>
      <c r="T2269" s="1858">
        <f t="shared" si="390"/>
        <v>0</v>
      </c>
    </row>
    <row r="2270" spans="1:20" ht="22.2" hidden="1" customHeight="1">
      <c r="A2270" s="1444">
        <f>COUNTIF($C$12:C2270,"x")</f>
        <v>60</v>
      </c>
      <c r="B2270" s="1451" t="s">
        <v>2024</v>
      </c>
      <c r="C2270" s="966" t="str">
        <f t="shared" si="392"/>
        <v xml:space="preserve"> </v>
      </c>
      <c r="D2270" s="1411">
        <f>PPHTCS!BJ69</f>
        <v>0</v>
      </c>
      <c r="E2270" s="976">
        <f>VLOOKUP($B2270,DG!A:D,DG!$B$2,)</f>
        <v>0</v>
      </c>
      <c r="F2270" s="988" t="str">
        <f>VLOOKUP($B2270,DG!A:D,DG!$C$2,)</f>
        <v xml:space="preserve">Móc đơn treo cáp </v>
      </c>
      <c r="G2270" s="976" t="str">
        <f>VLOOKUP($B2270,DG!A:D,DG!$D$2,)</f>
        <v>cái</v>
      </c>
      <c r="H2270" s="1689">
        <f t="shared" si="393"/>
        <v>0</v>
      </c>
      <c r="I2270" s="1689"/>
      <c r="J2270" s="1689"/>
      <c r="K2270" s="1689"/>
      <c r="L2270" s="1689"/>
      <c r="M2270" s="1689"/>
      <c r="N2270" s="1689"/>
      <c r="O2270" s="1689"/>
      <c r="P2270" s="1689">
        <f t="shared" si="394"/>
        <v>0</v>
      </c>
      <c r="Q2270" s="985"/>
      <c r="R2270" s="985"/>
      <c r="S2270" s="985"/>
      <c r="T2270" s="1858">
        <f t="shared" si="390"/>
        <v>0</v>
      </c>
    </row>
    <row r="2271" spans="1:20" ht="22.2" hidden="1" customHeight="1">
      <c r="A2271" s="1444">
        <f>COUNTIF($C$12:C2271,"x")</f>
        <v>60</v>
      </c>
      <c r="B2271" s="1451" t="s">
        <v>851</v>
      </c>
      <c r="C2271" s="966" t="str">
        <f t="shared" si="392"/>
        <v xml:space="preserve"> </v>
      </c>
      <c r="D2271" s="1411">
        <f>PPHTCS!AO69</f>
        <v>0</v>
      </c>
      <c r="E2271" s="976">
        <f>VLOOKUP($B2271,DG!A:D,DG!$B$2,)</f>
        <v>0</v>
      </c>
      <c r="F2271" s="988" t="str">
        <f>VLOOKUP($B2271,DG!A:D,DG!$C$2,)</f>
        <v>Boulon móc 16x250+ long đền vuông D18-50x50x3/Zn</v>
      </c>
      <c r="G2271" s="976" t="str">
        <f>VLOOKUP($B2271,DG!A:D,DG!$D$2,)</f>
        <v>bộ</v>
      </c>
      <c r="H2271" s="1689">
        <f t="shared" si="393"/>
        <v>0</v>
      </c>
      <c r="I2271" s="1689"/>
      <c r="J2271" s="1689"/>
      <c r="K2271" s="1689"/>
      <c r="L2271" s="1689"/>
      <c r="M2271" s="1689"/>
      <c r="N2271" s="1689"/>
      <c r="O2271" s="1689"/>
      <c r="P2271" s="1689">
        <f t="shared" si="394"/>
        <v>0</v>
      </c>
      <c r="Q2271" s="985"/>
      <c r="R2271" s="985"/>
      <c r="S2271" s="985"/>
      <c r="T2271" s="1858">
        <f t="shared" si="390"/>
        <v>0</v>
      </c>
    </row>
    <row r="2272" spans="1:20" ht="22.2" hidden="1" customHeight="1">
      <c r="A2272" s="1444">
        <f>COUNTIF($C$12:C2272,"x")</f>
        <v>60</v>
      </c>
      <c r="B2272" s="1451" t="s">
        <v>852</v>
      </c>
      <c r="C2272" s="966" t="str">
        <f t="shared" si="392"/>
        <v xml:space="preserve"> </v>
      </c>
      <c r="D2272" s="1411">
        <f>PPHTCS!AP69</f>
        <v>0</v>
      </c>
      <c r="E2272" s="976">
        <f>VLOOKUP($B2272,DG!A:D,DG!$B$2,)</f>
        <v>0</v>
      </c>
      <c r="F2272" s="988" t="str">
        <f>VLOOKUP($B2272,DG!A:D,DG!$C$2,)</f>
        <v>Boulon móc 16x300+ long đền vuông D18-50x50x3/Zn</v>
      </c>
      <c r="G2272" s="976" t="str">
        <f>VLOOKUP($B2272,DG!A:D,DG!$D$2,)</f>
        <v>bộ</v>
      </c>
      <c r="H2272" s="1689">
        <f t="shared" si="393"/>
        <v>0</v>
      </c>
      <c r="I2272" s="1689"/>
      <c r="J2272" s="1689"/>
      <c r="K2272" s="1689"/>
      <c r="L2272" s="1689"/>
      <c r="M2272" s="1689"/>
      <c r="N2272" s="1689"/>
      <c r="O2272" s="1689"/>
      <c r="P2272" s="1689">
        <f t="shared" si="394"/>
        <v>0</v>
      </c>
      <c r="Q2272" s="985"/>
      <c r="R2272" s="985"/>
      <c r="S2272" s="985"/>
      <c r="T2272" s="1858">
        <f t="shared" si="390"/>
        <v>0</v>
      </c>
    </row>
    <row r="2273" spans="1:20" ht="22.2" hidden="1" customHeight="1">
      <c r="A2273" s="1444">
        <f>COUNTIF($C$12:C2273,"x")</f>
        <v>60</v>
      </c>
      <c r="B2273" s="1451" t="s">
        <v>2200</v>
      </c>
      <c r="C2273" s="966" t="str">
        <f t="shared" si="392"/>
        <v xml:space="preserve"> </v>
      </c>
      <c r="D2273" s="1408">
        <f>PPHTCS!BH69</f>
        <v>0</v>
      </c>
      <c r="E2273" s="976"/>
      <c r="F2273" s="988" t="str">
        <f>VLOOKUP($B2273,DG!A:D,DG!$C$2,)</f>
        <v xml:space="preserve">Cổ dê trụ đôi 8,4m bắt móc dừng </v>
      </c>
      <c r="G2273" s="976" t="str">
        <f>VLOOKUP($B2273,DG!A:D,DG!$D$2,)</f>
        <v>bộ</v>
      </c>
      <c r="H2273" s="1689">
        <f t="shared" si="393"/>
        <v>0</v>
      </c>
      <c r="I2273" s="1689"/>
      <c r="J2273" s="1689"/>
      <c r="K2273" s="1689"/>
      <c r="L2273" s="1689"/>
      <c r="M2273" s="1689"/>
      <c r="N2273" s="1689"/>
      <c r="O2273" s="1689"/>
      <c r="P2273" s="1689">
        <f t="shared" si="394"/>
        <v>0</v>
      </c>
      <c r="Q2273" s="985"/>
      <c r="R2273" s="985"/>
      <c r="S2273" s="985"/>
      <c r="T2273" s="1858">
        <f t="shared" si="390"/>
        <v>0</v>
      </c>
    </row>
    <row r="2274" spans="1:20" ht="22.2" hidden="1" customHeight="1">
      <c r="A2274" s="1444">
        <f>COUNTIF($C$12:C2274,"x")</f>
        <v>60</v>
      </c>
      <c r="B2274" s="1451" t="s">
        <v>1467</v>
      </c>
      <c r="C2274" s="966" t="str">
        <f t="shared" si="392"/>
        <v xml:space="preserve"> </v>
      </c>
      <c r="D2274" s="1408">
        <f>PPHTCS!BI69</f>
        <v>0</v>
      </c>
      <c r="E2274" s="976">
        <f>VLOOKUP($B2274,DG!A:D,DG!$B$2,)</f>
        <v>0</v>
      </c>
      <c r="F2274" s="988" t="str">
        <f>VLOOKUP($B2274,DG!A:D,DG!$C$2,)</f>
        <v xml:space="preserve">Móc dừng </v>
      </c>
      <c r="G2274" s="976" t="str">
        <f>VLOOKUP($B2274,DG!A:D,DG!$D$2,)</f>
        <v>cái</v>
      </c>
      <c r="H2274" s="1689">
        <f t="shared" si="393"/>
        <v>0</v>
      </c>
      <c r="I2274" s="1689"/>
      <c r="J2274" s="1689"/>
      <c r="K2274" s="1689"/>
      <c r="L2274" s="1689"/>
      <c r="M2274" s="1689"/>
      <c r="N2274" s="1689"/>
      <c r="O2274" s="1689"/>
      <c r="P2274" s="1689">
        <f t="shared" si="394"/>
        <v>0</v>
      </c>
      <c r="Q2274" s="985"/>
      <c r="R2274" s="985"/>
      <c r="S2274" s="985"/>
      <c r="T2274" s="1858">
        <f t="shared" si="390"/>
        <v>0</v>
      </c>
    </row>
    <row r="2275" spans="1:20" ht="22.2" hidden="1" customHeight="1">
      <c r="A2275" s="1444">
        <f>COUNTIF($C$12:C2275,"x")</f>
        <v>60</v>
      </c>
      <c r="B2275" s="1451" t="s">
        <v>194</v>
      </c>
      <c r="C2275" s="966" t="str">
        <f t="shared" si="392"/>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3"/>
        <v>0</v>
      </c>
      <c r="I2275" s="1689"/>
      <c r="J2275" s="1689"/>
      <c r="K2275" s="1689"/>
      <c r="L2275" s="1689"/>
      <c r="M2275" s="1689"/>
      <c r="N2275" s="1689"/>
      <c r="O2275" s="1689"/>
      <c r="P2275" s="1689">
        <f t="shared" si="394"/>
        <v>0</v>
      </c>
      <c r="Q2275" s="985"/>
      <c r="R2275" s="985"/>
      <c r="S2275" s="985"/>
      <c r="T2275" s="1858">
        <f t="shared" si="390"/>
        <v>0</v>
      </c>
    </row>
    <row r="2276" spans="1:20" ht="22.2" hidden="1" customHeight="1">
      <c r="A2276" s="1444">
        <f>COUNTIF($C$12:C2276,"x")</f>
        <v>60</v>
      </c>
      <c r="B2276" s="1451" t="s">
        <v>71</v>
      </c>
      <c r="C2276" s="966" t="str">
        <f t="shared" si="392"/>
        <v xml:space="preserve"> </v>
      </c>
      <c r="D2276" s="1411"/>
      <c r="E2276" s="976">
        <f>VLOOKUP($B2276,DG!A:D,DG!$B$2,)</f>
        <v>0</v>
      </c>
      <c r="F2276" s="988" t="str">
        <f>VLOOKUP($B2276,DG!A:D,DG!$C$2,)</f>
        <v>ÔÁng sắt tráng kẽm D60</v>
      </c>
      <c r="G2276" s="976" t="str">
        <f>VLOOKUP($B2276,DG!A:D,DG!$D$2,)</f>
        <v>mét</v>
      </c>
      <c r="H2276" s="1689">
        <f t="shared" si="393"/>
        <v>0</v>
      </c>
      <c r="I2276" s="1689"/>
      <c r="J2276" s="1689"/>
      <c r="K2276" s="1689"/>
      <c r="L2276" s="1689"/>
      <c r="M2276" s="1689"/>
      <c r="N2276" s="1689"/>
      <c r="O2276" s="1689"/>
      <c r="P2276" s="1689">
        <f t="shared" si="394"/>
        <v>0</v>
      </c>
      <c r="Q2276" s="985"/>
      <c r="R2276" s="985"/>
      <c r="S2276" s="985"/>
      <c r="T2276" s="1858">
        <f t="shared" si="390"/>
        <v>0</v>
      </c>
    </row>
    <row r="2277" spans="1:20" ht="22.2" hidden="1" customHeight="1">
      <c r="A2277" s="1444">
        <f>COUNTIF($C$12:C2277,"x")</f>
        <v>60</v>
      </c>
      <c r="B2277" s="1451" t="s">
        <v>2101</v>
      </c>
      <c r="C2277" s="966" t="str">
        <f t="shared" si="392"/>
        <v xml:space="preserve"> </v>
      </c>
      <c r="D2277" s="1411"/>
      <c r="E2277" s="976">
        <f>VLOOKUP($B2277,DG!A:D,DG!$B$2,)</f>
        <v>0</v>
      </c>
      <c r="F2277" s="988" t="str">
        <f>VLOOKUP($B2277,DG!A:D,DG!$C$2,)</f>
        <v>ÔÁng sắt tráng kẽm D42</v>
      </c>
      <c r="G2277" s="976" t="str">
        <f>VLOOKUP($B2277,DG!A:D,DG!$D$2,)</f>
        <v>mét</v>
      </c>
      <c r="H2277" s="1689">
        <f t="shared" si="393"/>
        <v>0</v>
      </c>
      <c r="I2277" s="1689"/>
      <c r="J2277" s="1689"/>
      <c r="K2277" s="1689"/>
      <c r="L2277" s="1689"/>
      <c r="M2277" s="1689"/>
      <c r="N2277" s="1689"/>
      <c r="O2277" s="1689"/>
      <c r="P2277" s="1689">
        <f t="shared" si="394"/>
        <v>0</v>
      </c>
      <c r="Q2277" s="985"/>
      <c r="R2277" s="985"/>
      <c r="S2277" s="985"/>
      <c r="T2277" s="1858">
        <f t="shared" ref="T2277:T2341" si="395">IFERROR(HLOOKUP(B2277,BangKeTru,3,0),0)</f>
        <v>0</v>
      </c>
    </row>
    <row r="2278" spans="1:20" ht="22.2" hidden="1" customHeight="1">
      <c r="A2278" s="1444">
        <f>COUNTIF($C$12:C2278,"x")</f>
        <v>60</v>
      </c>
      <c r="B2278" s="1451" t="s">
        <v>2009</v>
      </c>
      <c r="C2278" s="966" t="str">
        <f t="shared" si="392"/>
        <v xml:space="preserve"> </v>
      </c>
      <c r="D2278" s="1411"/>
      <c r="E2278" s="976" t="str">
        <f>VLOOKUP($B2278,DG!A:D,DG!$B$2,)</f>
        <v>07.2404</v>
      </c>
      <c r="F2278" s="988" t="str">
        <f>VLOOKUP($B2278,DG!A:D,DG!$C$2,)</f>
        <v>Ống PVC D60x2,8mm</v>
      </c>
      <c r="G2278" s="976" t="str">
        <f>VLOOKUP($B2278,DG!A:D,DG!$D$2,)</f>
        <v>m</v>
      </c>
      <c r="H2278" s="1689">
        <f t="shared" si="393"/>
        <v>0</v>
      </c>
      <c r="I2278" s="1689"/>
      <c r="J2278" s="1689"/>
      <c r="K2278" s="1689"/>
      <c r="L2278" s="1689"/>
      <c r="M2278" s="1689"/>
      <c r="N2278" s="1689"/>
      <c r="O2278" s="1689"/>
      <c r="P2278" s="1689">
        <f t="shared" si="394"/>
        <v>0</v>
      </c>
      <c r="Q2278" s="985"/>
      <c r="R2278" s="985"/>
      <c r="S2278" s="985"/>
      <c r="T2278" s="1858">
        <f t="shared" si="395"/>
        <v>0</v>
      </c>
    </row>
    <row r="2279" spans="1:20" ht="22.2" hidden="1" customHeight="1">
      <c r="A2279" s="1444">
        <f>COUNTIF($C$12:C2279,"x")</f>
        <v>60</v>
      </c>
      <c r="B2279" s="1451" t="s">
        <v>2141</v>
      </c>
      <c r="C2279" s="966" t="str">
        <f t="shared" si="392"/>
        <v xml:space="preserve"> </v>
      </c>
      <c r="D2279" s="1411">
        <f>D2278</f>
        <v>0</v>
      </c>
      <c r="E2279" s="976" t="str">
        <f>VLOOKUP($B2279,DG!A:D,DG!$B$2,)</f>
        <v>07.2403</v>
      </c>
      <c r="F2279" s="988" t="str">
        <f>VLOOKUP($B2279,DG!A:D,DG!$C$2,)</f>
        <v>Ống PVC D42x2,1mm</v>
      </c>
      <c r="G2279" s="976" t="str">
        <f>VLOOKUP($B2279,DG!A:D,DG!$D$2,)</f>
        <v>m</v>
      </c>
      <c r="H2279" s="1689">
        <f t="shared" si="393"/>
        <v>0</v>
      </c>
      <c r="I2279" s="1689"/>
      <c r="J2279" s="1689"/>
      <c r="K2279" s="1689"/>
      <c r="L2279" s="1689"/>
      <c r="M2279" s="1689"/>
      <c r="N2279" s="1689"/>
      <c r="O2279" s="1689"/>
      <c r="P2279" s="1689">
        <f t="shared" si="394"/>
        <v>0</v>
      </c>
      <c r="Q2279" s="985"/>
      <c r="R2279" s="985"/>
      <c r="S2279" s="985"/>
      <c r="T2279" s="1858">
        <f t="shared" si="395"/>
        <v>0</v>
      </c>
    </row>
    <row r="2280" spans="1:20" ht="22.2" hidden="1" customHeight="1">
      <c r="A2280" s="1444">
        <f>COUNTIF($C$12:C2280,"x")</f>
        <v>60</v>
      </c>
      <c r="B2280" s="1481" t="s">
        <v>1275</v>
      </c>
      <c r="C2280" s="966" t="str">
        <f t="shared" si="392"/>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3"/>
        <v>0</v>
      </c>
      <c r="I2280" s="1689"/>
      <c r="J2280" s="1689"/>
      <c r="K2280" s="1689"/>
      <c r="L2280" s="1689"/>
      <c r="M2280" s="1689"/>
      <c r="N2280" s="1689"/>
      <c r="O2280" s="1689"/>
      <c r="P2280" s="1689">
        <f t="shared" si="394"/>
        <v>0</v>
      </c>
      <c r="Q2280" s="985"/>
      <c r="R2280" s="985"/>
      <c r="S2280" s="985"/>
      <c r="T2280" s="1858">
        <f t="shared" si="395"/>
        <v>0</v>
      </c>
    </row>
    <row r="2281" spans="1:20" ht="22.2" hidden="1" customHeight="1">
      <c r="A2281" s="1444">
        <f>COUNTIF($C$12:C2281,"x")</f>
        <v>60</v>
      </c>
      <c r="B2281" s="1481" t="s">
        <v>1277</v>
      </c>
      <c r="C2281" s="966" t="str">
        <f t="shared" si="392"/>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3"/>
        <v>0</v>
      </c>
      <c r="I2281" s="1689"/>
      <c r="J2281" s="1689"/>
      <c r="K2281" s="1689"/>
      <c r="L2281" s="1689"/>
      <c r="M2281" s="1689"/>
      <c r="N2281" s="1689"/>
      <c r="O2281" s="1689"/>
      <c r="P2281" s="1689">
        <f t="shared" si="394"/>
        <v>0</v>
      </c>
      <c r="Q2281" s="985"/>
      <c r="R2281" s="985"/>
      <c r="S2281" s="985"/>
      <c r="T2281" s="1858">
        <f t="shared" si="395"/>
        <v>0</v>
      </c>
    </row>
    <row r="2282" spans="1:20" ht="22.2" hidden="1" customHeight="1">
      <c r="A2282" s="1444">
        <f>COUNTIF($C$12:C2282,"x")</f>
        <v>60</v>
      </c>
      <c r="B2282" s="1481" t="s">
        <v>592</v>
      </c>
      <c r="C2282" s="966" t="str">
        <f t="shared" si="392"/>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3"/>
        <v>0</v>
      </c>
      <c r="I2282" s="1689"/>
      <c r="J2282" s="1689"/>
      <c r="K2282" s="1689"/>
      <c r="L2282" s="1689"/>
      <c r="M2282" s="1689"/>
      <c r="N2282" s="1689"/>
      <c r="O2282" s="1689"/>
      <c r="P2282" s="1689">
        <f t="shared" si="394"/>
        <v>0</v>
      </c>
      <c r="Q2282" s="985"/>
      <c r="R2282" s="985"/>
      <c r="S2282" s="985"/>
      <c r="T2282" s="1858">
        <f t="shared" si="395"/>
        <v>0</v>
      </c>
    </row>
    <row r="2283" spans="1:20" ht="22.2" hidden="1" customHeight="1">
      <c r="A2283" s="1444">
        <f>COUNTIF($C$12:C2283,"x")</f>
        <v>60</v>
      </c>
      <c r="B2283" s="1481" t="s">
        <v>596</v>
      </c>
      <c r="C2283" s="966" t="str">
        <f t="shared" si="392"/>
        <v xml:space="preserve"> </v>
      </c>
      <c r="D2283" s="1414">
        <f>D2257</f>
        <v>0</v>
      </c>
      <c r="E2283" s="976" t="str">
        <f>VLOOKUP($B2283,DG!A:D,DG!$B$2,)</f>
        <v>CS4.03.010</v>
      </c>
      <c r="F2283" s="981" t="str">
        <f>VLOOKUP($B2283,DG!A:D,DG!$C$2,)</f>
        <v>Lắp đầu cáp ngầm chiếu sáng</v>
      </c>
      <c r="G2283" s="976" t="str">
        <f>VLOOKUP($B2283,DG!A:D,DG!$D$2,)</f>
        <v>bộ</v>
      </c>
      <c r="H2283" s="1689">
        <f t="shared" si="393"/>
        <v>0</v>
      </c>
      <c r="I2283" s="1689"/>
      <c r="J2283" s="1689"/>
      <c r="K2283" s="1689"/>
      <c r="L2283" s="1689"/>
      <c r="M2283" s="1689"/>
      <c r="N2283" s="1689"/>
      <c r="O2283" s="1689"/>
      <c r="P2283" s="1689">
        <f t="shared" si="394"/>
        <v>0</v>
      </c>
      <c r="Q2283" s="985"/>
      <c r="R2283" s="985"/>
      <c r="S2283" s="985"/>
      <c r="T2283" s="1858">
        <f t="shared" si="395"/>
        <v>0</v>
      </c>
    </row>
    <row r="2284" spans="1:20" ht="22.2" hidden="1" customHeight="1">
      <c r="A2284" s="1444">
        <f>COUNTIF($C$12:C2284,"x")</f>
        <v>60</v>
      </c>
      <c r="B2284" s="1481" t="s">
        <v>1845</v>
      </c>
      <c r="C2284" s="966" t="str">
        <f t="shared" si="392"/>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3"/>
        <v>0</v>
      </c>
      <c r="I2284" s="1689"/>
      <c r="J2284" s="1689"/>
      <c r="K2284" s="1689"/>
      <c r="L2284" s="1689"/>
      <c r="M2284" s="1689"/>
      <c r="N2284" s="1689"/>
      <c r="O2284" s="1689"/>
      <c r="P2284" s="1689">
        <f t="shared" si="394"/>
        <v>0</v>
      </c>
      <c r="Q2284" s="985"/>
      <c r="R2284" s="985"/>
      <c r="S2284" s="985"/>
      <c r="T2284" s="1858">
        <f t="shared" si="395"/>
        <v>0</v>
      </c>
    </row>
    <row r="2285" spans="1:20" ht="22.2" hidden="1" customHeight="1">
      <c r="A2285" s="1444">
        <f>COUNTIF($C$12:C2285,"x")</f>
        <v>60</v>
      </c>
      <c r="B2285" s="1481" t="s">
        <v>1172</v>
      </c>
      <c r="C2285" s="966" t="str">
        <f t="shared" si="392"/>
        <v xml:space="preserve"> </v>
      </c>
      <c r="D2285" s="1414">
        <f>D2252</f>
        <v>0</v>
      </c>
      <c r="E2285" s="976" t="str">
        <f>VLOOKUP($B2285,DG!A:D,DG!$B$2,)</f>
        <v>CS3.05.001</v>
      </c>
      <c r="F2285" s="981" t="str">
        <f>VLOOKUP($B2285,DG!A:D,DG!$C$2,)</f>
        <v>Lắp chóa đèn chiếu sáng ≤ 12m</v>
      </c>
      <c r="G2285" s="976" t="str">
        <f>VLOOKUP($B2285,DG!A:D,DG!$D$2,)</f>
        <v>bộ</v>
      </c>
      <c r="H2285" s="1689">
        <f t="shared" si="393"/>
        <v>0</v>
      </c>
      <c r="I2285" s="1689"/>
      <c r="J2285" s="1689"/>
      <c r="K2285" s="1689"/>
      <c r="L2285" s="1689"/>
      <c r="M2285" s="1689"/>
      <c r="N2285" s="1689"/>
      <c r="O2285" s="1689"/>
      <c r="P2285" s="1689">
        <f t="shared" si="394"/>
        <v>0</v>
      </c>
      <c r="Q2285" s="985"/>
      <c r="R2285" s="985"/>
      <c r="S2285" s="985"/>
      <c r="T2285" s="1858">
        <f t="shared" si="395"/>
        <v>0</v>
      </c>
    </row>
    <row r="2286" spans="1:20" ht="22.2" hidden="1" customHeight="1">
      <c r="A2286" s="1444">
        <f>COUNTIF($C$12:C2286,"x")</f>
        <v>60</v>
      </c>
      <c r="B2286" s="1481" t="s">
        <v>1684</v>
      </c>
      <c r="C2286" s="966" t="str">
        <f t="shared" si="392"/>
        <v xml:space="preserve"> </v>
      </c>
      <c r="D2286" s="1411">
        <f>D2248+D2247</f>
        <v>0</v>
      </c>
      <c r="E2286" s="976" t="str">
        <f>VLOOKUP($B2286,DG!A:D,DG!$B$2,)</f>
        <v>CS4.08.010</v>
      </c>
      <c r="F2286" s="988" t="str">
        <f>VLOOKUP($B2286,DG!A:D,DG!$C$2,)</f>
        <v>Luồn dây lên đèn</v>
      </c>
      <c r="G2286" s="976" t="str">
        <f>VLOOKUP($B2286,DG!A:D,DG!$D$2,)</f>
        <v>mét</v>
      </c>
      <c r="H2286" s="1689">
        <f t="shared" si="393"/>
        <v>0</v>
      </c>
      <c r="I2286" s="1689"/>
      <c r="J2286" s="1689"/>
      <c r="K2286" s="1689"/>
      <c r="L2286" s="1689"/>
      <c r="M2286" s="1689"/>
      <c r="N2286" s="1689"/>
      <c r="O2286" s="1689"/>
      <c r="P2286" s="1689">
        <f t="shared" si="394"/>
        <v>0</v>
      </c>
      <c r="Q2286" s="985"/>
      <c r="R2286" s="985"/>
      <c r="S2286" s="985"/>
      <c r="T2286" s="1858">
        <f t="shared" si="395"/>
        <v>0</v>
      </c>
    </row>
    <row r="2287" spans="1:20" ht="22.2" hidden="1" customHeight="1">
      <c r="A2287" s="1444">
        <f>COUNTIF($C$12:C2287,"x")</f>
        <v>60</v>
      </c>
      <c r="B2287" s="1481" t="s">
        <v>1123</v>
      </c>
      <c r="C2287" s="966" t="str">
        <f t="shared" si="392"/>
        <v xml:space="preserve"> </v>
      </c>
      <c r="D2287" s="1411">
        <f>D2262</f>
        <v>0</v>
      </c>
      <c r="E2287" s="976" t="str">
        <f>VLOOKUP($B2287,DG!A:D,DG!$B$2,)</f>
        <v>CS4.03.020</v>
      </c>
      <c r="F2287" s="981" t="str">
        <f>VLOOKUP($B2287,DG!A:D,DG!$C$2,)</f>
        <v>Lắp cầu chì đuôi cá</v>
      </c>
      <c r="G2287" s="976" t="str">
        <f>VLOOKUP($B2287,DG!A:D,DG!$D$2,)</f>
        <v>cái</v>
      </c>
      <c r="H2287" s="1689">
        <f t="shared" si="393"/>
        <v>0</v>
      </c>
      <c r="I2287" s="1689"/>
      <c r="J2287" s="1689"/>
      <c r="K2287" s="1689"/>
      <c r="L2287" s="1689"/>
      <c r="M2287" s="1689"/>
      <c r="N2287" s="1689"/>
      <c r="O2287" s="1689"/>
      <c r="P2287" s="1689">
        <f t="shared" si="394"/>
        <v>0</v>
      </c>
      <c r="Q2287" s="985"/>
      <c r="R2287" s="985"/>
      <c r="S2287" s="985"/>
      <c r="T2287" s="1858">
        <f t="shared" si="395"/>
        <v>0</v>
      </c>
    </row>
    <row r="2288" spans="1:20" ht="22.2" hidden="1" customHeight="1">
      <c r="A2288" s="1444">
        <f>COUNTIF($C$12:C2288,"x")</f>
        <v>60</v>
      </c>
      <c r="B2288" s="1481" t="s">
        <v>971</v>
      </c>
      <c r="C2288" s="966" t="str">
        <f t="shared" si="392"/>
        <v xml:space="preserve"> </v>
      </c>
      <c r="D2288" s="1411">
        <f>D2263</f>
        <v>0</v>
      </c>
      <c r="E2288" s="976">
        <f>VLOOKUP($B2288,DG!A:D,DG!$B$2,)</f>
        <v>0</v>
      </c>
      <c r="F2288" s="981" t="str">
        <f>VLOOKUP($B2288,DG!A:D,DG!$C$2,)</f>
        <v>Lắp tấm bakelit</v>
      </c>
      <c r="G2288" s="976">
        <f>VLOOKUP($B2288,DG!A:D,DG!$D$2,)</f>
        <v>0</v>
      </c>
      <c r="H2288" s="1689">
        <f t="shared" si="393"/>
        <v>0</v>
      </c>
      <c r="I2288" s="1689"/>
      <c r="J2288" s="1689"/>
      <c r="K2288" s="1689"/>
      <c r="L2288" s="1689"/>
      <c r="M2288" s="1689"/>
      <c r="N2288" s="1689"/>
      <c r="O2288" s="1689"/>
      <c r="P2288" s="1689">
        <f t="shared" si="394"/>
        <v>0</v>
      </c>
      <c r="Q2288" s="985"/>
      <c r="R2288" s="985"/>
      <c r="S2288" s="985"/>
      <c r="T2288" s="1858">
        <f t="shared" si="395"/>
        <v>0</v>
      </c>
    </row>
    <row r="2289" spans="1:20" ht="22.2" hidden="1" customHeight="1">
      <c r="A2289" s="1444">
        <f>COUNTIF($C$12:C2289,"x")</f>
        <v>60</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5"/>
        <v>0</v>
      </c>
    </row>
    <row r="2290" spans="1:20" ht="22.2" hidden="1" customHeight="1">
      <c r="A2290" s="1444">
        <f>COUNTIF($C$12:C2290,"x")</f>
        <v>60</v>
      </c>
      <c r="B2290" s="1448">
        <v>0</v>
      </c>
      <c r="C2290" s="966" t="str">
        <f t="shared" si="392"/>
        <v xml:space="preserve"> </v>
      </c>
      <c r="D2290" s="1424"/>
      <c r="E2290" s="976" t="e">
        <f>VLOOKUP($B2290,DG!A:D,DG!$B$2,)</f>
        <v>#N/A</v>
      </c>
      <c r="F2290" s="981" t="e">
        <f>VLOOKUP($B2290,DG!A:D,DG!$C$2,)</f>
        <v>#N/A</v>
      </c>
      <c r="G2290" s="976" t="e">
        <f>VLOOKUP($B2290,DG!A:D,DG!$D$2,)</f>
        <v>#N/A</v>
      </c>
      <c r="H2290" s="1689">
        <f t="shared" ref="H2290:H2296" si="396">D2290</f>
        <v>0</v>
      </c>
      <c r="I2290" s="1689"/>
      <c r="J2290" s="1689">
        <f t="shared" ref="J2290:J2296" si="397">D2290</f>
        <v>0</v>
      </c>
      <c r="K2290" s="1689"/>
      <c r="L2290" s="1689"/>
      <c r="M2290" s="1689"/>
      <c r="N2290" s="1689"/>
      <c r="O2290" s="1689"/>
      <c r="P2290" s="1689">
        <f t="shared" si="394"/>
        <v>0</v>
      </c>
      <c r="Q2290" s="985"/>
      <c r="R2290" s="985"/>
      <c r="S2290" s="985"/>
      <c r="T2290" s="1858">
        <f t="shared" si="395"/>
        <v>0</v>
      </c>
    </row>
    <row r="2291" spans="1:20" ht="22.2" hidden="1" customHeight="1">
      <c r="A2291" s="1444">
        <f>COUNTIF($C$12:C2291,"x")</f>
        <v>60</v>
      </c>
      <c r="B2291" s="1448">
        <v>0</v>
      </c>
      <c r="C2291" s="966" t="str">
        <f t="shared" si="392"/>
        <v xml:space="preserve"> </v>
      </c>
      <c r="D2291" s="1424"/>
      <c r="E2291" s="976" t="e">
        <f>VLOOKUP($B2291,DG!A:D,DG!$B$2,)</f>
        <v>#N/A</v>
      </c>
      <c r="F2291" s="981" t="e">
        <f>VLOOKUP($B2291,DG!A:D,DG!$C$2,)</f>
        <v>#N/A</v>
      </c>
      <c r="G2291" s="976" t="e">
        <f>VLOOKUP($B2291,DG!A:D,DG!$D$2,)</f>
        <v>#N/A</v>
      </c>
      <c r="H2291" s="1689">
        <f t="shared" si="396"/>
        <v>0</v>
      </c>
      <c r="I2291" s="1689"/>
      <c r="J2291" s="1689">
        <f t="shared" si="397"/>
        <v>0</v>
      </c>
      <c r="K2291" s="1689"/>
      <c r="L2291" s="1689"/>
      <c r="M2291" s="1689"/>
      <c r="N2291" s="1689"/>
      <c r="O2291" s="1689"/>
      <c r="P2291" s="1689">
        <f t="shared" si="394"/>
        <v>0</v>
      </c>
      <c r="Q2291" s="985"/>
      <c r="R2291" s="985"/>
      <c r="S2291" s="985"/>
      <c r="T2291" s="1858">
        <f t="shared" si="395"/>
        <v>0</v>
      </c>
    </row>
    <row r="2292" spans="1:20" ht="22.2" hidden="1" customHeight="1">
      <c r="A2292" s="1444">
        <f>COUNTIF($C$12:C2292,"x")</f>
        <v>60</v>
      </c>
      <c r="B2292" s="1448">
        <v>0</v>
      </c>
      <c r="C2292" s="966" t="str">
        <f t="shared" si="392"/>
        <v xml:space="preserve"> </v>
      </c>
      <c r="D2292" s="1424"/>
      <c r="E2292" s="976" t="e">
        <f>VLOOKUP($B2292,DG!A:D,DG!$B$2,)</f>
        <v>#N/A</v>
      </c>
      <c r="F2292" s="988" t="e">
        <f>VLOOKUP($B2292,DG!A:D,DG!$C$2,)</f>
        <v>#N/A</v>
      </c>
      <c r="G2292" s="976" t="e">
        <f>VLOOKUP($B2292,DG!A:D,DG!$D$2,)</f>
        <v>#N/A</v>
      </c>
      <c r="H2292" s="1689">
        <f t="shared" si="396"/>
        <v>0</v>
      </c>
      <c r="I2292" s="1689"/>
      <c r="J2292" s="1689">
        <f t="shared" si="397"/>
        <v>0</v>
      </c>
      <c r="K2292" s="1689"/>
      <c r="L2292" s="1689"/>
      <c r="M2292" s="1689"/>
      <c r="N2292" s="1689"/>
      <c r="O2292" s="1689"/>
      <c r="P2292" s="1689">
        <f t="shared" si="394"/>
        <v>0</v>
      </c>
      <c r="Q2292" s="985"/>
      <c r="R2292" s="985"/>
      <c r="S2292" s="985"/>
      <c r="T2292" s="1858">
        <f t="shared" si="395"/>
        <v>0</v>
      </c>
    </row>
    <row r="2293" spans="1:20" ht="22.2" hidden="1" customHeight="1">
      <c r="A2293" s="1444">
        <f>COUNTIF($C$12:C2293,"x")</f>
        <v>60</v>
      </c>
      <c r="B2293" s="1448">
        <v>0</v>
      </c>
      <c r="C2293" s="966" t="str">
        <f t="shared" ref="C2293:C2359" si="398">IF(OR(P2293&lt;&gt;0,H2293&lt;&gt;0),"x"," ")</f>
        <v xml:space="preserve"> </v>
      </c>
      <c r="D2293" s="1424"/>
      <c r="E2293" s="976" t="e">
        <f>VLOOKUP($B2293,DG!A:D,DG!$B$2,)</f>
        <v>#N/A</v>
      </c>
      <c r="F2293" s="981" t="e">
        <f>VLOOKUP($B2293,DG!A:D,DG!$C$2,)</f>
        <v>#N/A</v>
      </c>
      <c r="G2293" s="976" t="e">
        <f>VLOOKUP($B2293,DG!A:D,DG!$D$2,)</f>
        <v>#N/A</v>
      </c>
      <c r="H2293" s="1689">
        <f t="shared" si="396"/>
        <v>0</v>
      </c>
      <c r="I2293" s="1689"/>
      <c r="J2293" s="1689">
        <f t="shared" si="397"/>
        <v>0</v>
      </c>
      <c r="K2293" s="1689"/>
      <c r="L2293" s="1689"/>
      <c r="M2293" s="1689"/>
      <c r="N2293" s="1689"/>
      <c r="O2293" s="1689"/>
      <c r="P2293" s="1689">
        <f t="shared" si="394"/>
        <v>0</v>
      </c>
      <c r="Q2293" s="985"/>
      <c r="R2293" s="985"/>
      <c r="S2293" s="985"/>
      <c r="T2293" s="1858">
        <f t="shared" si="395"/>
        <v>0</v>
      </c>
    </row>
    <row r="2294" spans="1:20" ht="22.2" hidden="1" customHeight="1">
      <c r="A2294" s="1444">
        <f>COUNTIF($C$12:C2294,"x")</f>
        <v>60</v>
      </c>
      <c r="B2294" s="1448">
        <v>0</v>
      </c>
      <c r="C2294" s="966" t="str">
        <f t="shared" si="398"/>
        <v xml:space="preserve"> </v>
      </c>
      <c r="D2294" s="1424"/>
      <c r="E2294" s="976" t="e">
        <f>VLOOKUP($B2294,DG!A:D,DG!$B$2,)</f>
        <v>#N/A</v>
      </c>
      <c r="F2294" s="981" t="e">
        <f>VLOOKUP($B2294,DG!A:D,DG!$C$2,)</f>
        <v>#N/A</v>
      </c>
      <c r="G2294" s="976" t="e">
        <f>VLOOKUP($B2294,DG!A:D,DG!$D$2,)</f>
        <v>#N/A</v>
      </c>
      <c r="H2294" s="1689">
        <f t="shared" si="396"/>
        <v>0</v>
      </c>
      <c r="I2294" s="1689"/>
      <c r="J2294" s="1689">
        <f t="shared" si="397"/>
        <v>0</v>
      </c>
      <c r="K2294" s="1689"/>
      <c r="L2294" s="1689"/>
      <c r="M2294" s="1689"/>
      <c r="N2294" s="1689"/>
      <c r="O2294" s="1689"/>
      <c r="P2294" s="1689">
        <f t="shared" si="394"/>
        <v>0</v>
      </c>
      <c r="Q2294" s="985"/>
      <c r="R2294" s="985"/>
      <c r="S2294" s="985"/>
      <c r="T2294" s="1858">
        <f t="shared" si="395"/>
        <v>0</v>
      </c>
    </row>
    <row r="2295" spans="1:20" ht="22.2" hidden="1" customHeight="1">
      <c r="A2295" s="1444">
        <f>COUNTIF($C$12:C2295,"x")</f>
        <v>60</v>
      </c>
      <c r="B2295" s="1448">
        <v>0</v>
      </c>
      <c r="C2295" s="966" t="str">
        <f t="shared" si="398"/>
        <v xml:space="preserve"> </v>
      </c>
      <c r="D2295" s="1424"/>
      <c r="E2295" s="976" t="e">
        <f>VLOOKUP($B2295,DG!A:D,DG!$B$2,)</f>
        <v>#N/A</v>
      </c>
      <c r="F2295" s="981" t="e">
        <f>VLOOKUP($B2295,DG!A:D,DG!$C$2,)</f>
        <v>#N/A</v>
      </c>
      <c r="G2295" s="976" t="e">
        <f>VLOOKUP($B2295,DG!A:D,DG!$D$2,)</f>
        <v>#N/A</v>
      </c>
      <c r="H2295" s="1689">
        <f t="shared" si="396"/>
        <v>0</v>
      </c>
      <c r="I2295" s="1689"/>
      <c r="J2295" s="1689">
        <f t="shared" si="397"/>
        <v>0</v>
      </c>
      <c r="K2295" s="1689"/>
      <c r="L2295" s="1689"/>
      <c r="M2295" s="1689"/>
      <c r="N2295" s="1689"/>
      <c r="O2295" s="1689"/>
      <c r="P2295" s="1689">
        <f t="shared" si="394"/>
        <v>0</v>
      </c>
      <c r="Q2295" s="985"/>
      <c r="R2295" s="985"/>
      <c r="S2295" s="985"/>
      <c r="T2295" s="1858">
        <f t="shared" si="395"/>
        <v>0</v>
      </c>
    </row>
    <row r="2296" spans="1:20" ht="22.2" hidden="1" customHeight="1">
      <c r="A2296" s="1444">
        <f>COUNTIF($C$12:C2296,"x")</f>
        <v>60</v>
      </c>
      <c r="B2296" s="1448">
        <v>0</v>
      </c>
      <c r="C2296" s="966" t="str">
        <f t="shared" si="398"/>
        <v xml:space="preserve"> </v>
      </c>
      <c r="D2296" s="1424"/>
      <c r="E2296" s="976" t="e">
        <f>VLOOKUP($B2296,DG!A:D,DG!$B$2,)</f>
        <v>#N/A</v>
      </c>
      <c r="F2296" s="981" t="e">
        <f>VLOOKUP($B2296,DG!A:D,DG!$C$2,)</f>
        <v>#N/A</v>
      </c>
      <c r="G2296" s="976" t="e">
        <f>VLOOKUP($B2296,DG!A:D,DG!$D$2,)</f>
        <v>#N/A</v>
      </c>
      <c r="H2296" s="1689">
        <f t="shared" si="396"/>
        <v>0</v>
      </c>
      <c r="I2296" s="1689"/>
      <c r="J2296" s="1689">
        <f t="shared" si="397"/>
        <v>0</v>
      </c>
      <c r="K2296" s="1689"/>
      <c r="L2296" s="1689"/>
      <c r="M2296" s="1689"/>
      <c r="N2296" s="1689"/>
      <c r="O2296" s="1689"/>
      <c r="P2296" s="1689">
        <f t="shared" si="394"/>
        <v>0</v>
      </c>
      <c r="Q2296" s="985"/>
      <c r="R2296" s="985"/>
      <c r="S2296" s="985"/>
      <c r="T2296" s="1858">
        <f t="shared" si="395"/>
        <v>0</v>
      </c>
    </row>
    <row r="2297" spans="1:20" ht="22.2" hidden="1" customHeight="1">
      <c r="A2297" s="1444">
        <f>COUNTIF($C$12:C2297,"x")</f>
        <v>60</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5"/>
        <v>0</v>
      </c>
    </row>
    <row r="2298" spans="1:20" ht="22.2" hidden="1" customHeight="1">
      <c r="A2298" s="1444">
        <f>COUNTIF($C$12:C2298,"x")</f>
        <v>60</v>
      </c>
      <c r="B2298" s="1456" t="s">
        <v>788</v>
      </c>
      <c r="C2298" s="966" t="str">
        <f t="shared" si="398"/>
        <v xml:space="preserve"> </v>
      </c>
      <c r="D2298" s="1424">
        <f>+pp_NC!ED184</f>
        <v>0</v>
      </c>
      <c r="E2298" s="976" t="str">
        <f>VLOOKUP($B2298,DG!A:D,DG!$B$2,)</f>
        <v>02.3104</v>
      </c>
      <c r="F2298" s="988" t="str">
        <f>VLOOKUP($B2298,DG!A:D,DG!$C$2,)</f>
        <v>LTD 1P 24KV - 800A</v>
      </c>
      <c r="G2298" s="976" t="str">
        <f>VLOOKUP($B2298,DG!A:D,DG!$D$2,)</f>
        <v>cái</v>
      </c>
      <c r="H2298" s="1689">
        <f t="shared" ref="H2298:H2307" si="399">D2298</f>
        <v>0</v>
      </c>
      <c r="I2298" s="1689"/>
      <c r="J2298" s="1689">
        <f t="shared" ref="J2298:J2307" si="400">D2298</f>
        <v>0</v>
      </c>
      <c r="K2298" s="1689"/>
      <c r="L2298" s="1689"/>
      <c r="M2298" s="1689"/>
      <c r="N2298" s="1689"/>
      <c r="O2298" s="1689"/>
      <c r="P2298" s="1689">
        <f t="shared" si="394"/>
        <v>0</v>
      </c>
      <c r="Q2298" s="985"/>
      <c r="R2298" s="985"/>
      <c r="S2298" s="985"/>
      <c r="T2298" s="1858">
        <f t="shared" si="395"/>
        <v>0</v>
      </c>
    </row>
    <row r="2299" spans="1:20" ht="22.2" hidden="1" customHeight="1">
      <c r="A2299" s="1444">
        <f>COUNTIF($C$12:C2299,"x")</f>
        <v>60</v>
      </c>
      <c r="B2299" s="1456" t="s">
        <v>4594</v>
      </c>
      <c r="C2299" s="966" t="str">
        <f t="shared" si="398"/>
        <v xml:space="preserve"> </v>
      </c>
      <c r="D2299" s="1424">
        <f>pp_NC!EF184</f>
        <v>0</v>
      </c>
      <c r="E2299" s="976" t="str">
        <f>VLOOKUP($B2299,DG!A:D,DG!$B$2,)</f>
        <v>02.3505</v>
      </c>
      <c r="F2299" s="988" t="str">
        <f>VLOOKUP($B2299,DG!A:D,DG!$C$2,)</f>
        <v>LBFCO-24KV-200A</v>
      </c>
      <c r="G2299" s="976" t="str">
        <f>VLOOKUP($B2299,DG!A:D,DG!$D$2,)</f>
        <v>cái</v>
      </c>
      <c r="H2299" s="1689">
        <f t="shared" si="399"/>
        <v>0</v>
      </c>
      <c r="I2299" s="1689"/>
      <c r="J2299" s="1689">
        <f t="shared" si="400"/>
        <v>0</v>
      </c>
      <c r="K2299" s="1689"/>
      <c r="L2299" s="1689"/>
      <c r="M2299" s="1689"/>
      <c r="N2299" s="1689"/>
      <c r="O2299" s="1689"/>
      <c r="P2299" s="1689">
        <f t="shared" si="394"/>
        <v>0</v>
      </c>
      <c r="Q2299" s="985"/>
      <c r="R2299" s="985"/>
      <c r="S2299" s="985"/>
      <c r="T2299" s="1858">
        <f t="shared" si="395"/>
        <v>0</v>
      </c>
    </row>
    <row r="2300" spans="1:20" ht="22.2" hidden="1" customHeight="1">
      <c r="A2300" s="1444">
        <f>COUNTIF($C$12:C2300,"x")</f>
        <v>60</v>
      </c>
      <c r="B2300" s="1456" t="s">
        <v>1653</v>
      </c>
      <c r="C2300" s="966" t="str">
        <f t="shared" si="398"/>
        <v xml:space="preserve"> </v>
      </c>
      <c r="D2300" s="1424">
        <f>pp_NC!EG184</f>
        <v>0</v>
      </c>
      <c r="E2300" s="976" t="str">
        <f>VLOOKUP($B2300,DG!A:D,DG!$B$2,)</f>
        <v>02.3505</v>
      </c>
      <c r="F2300" s="988" t="str">
        <f>VLOOKUP($B2300,DG!A:D,DG!$C$2,)</f>
        <v xml:space="preserve">FCO 24KV - 200A </v>
      </c>
      <c r="G2300" s="976" t="str">
        <f>VLOOKUP($B2300,DG!A:D,DG!$D$2,)</f>
        <v>cái</v>
      </c>
      <c r="H2300" s="1689">
        <f t="shared" si="399"/>
        <v>0</v>
      </c>
      <c r="I2300" s="1689"/>
      <c r="J2300" s="1689">
        <f t="shared" si="400"/>
        <v>0</v>
      </c>
      <c r="K2300" s="1689"/>
      <c r="L2300" s="1689"/>
      <c r="M2300" s="1689"/>
      <c r="N2300" s="1689"/>
      <c r="O2300" s="1689"/>
      <c r="P2300" s="1689">
        <f t="shared" si="394"/>
        <v>0</v>
      </c>
      <c r="Q2300" s="985"/>
      <c r="R2300" s="985"/>
      <c r="S2300" s="985"/>
      <c r="T2300" s="1858">
        <f t="shared" si="395"/>
        <v>0</v>
      </c>
    </row>
    <row r="2301" spans="1:20" ht="22.2" hidden="1" customHeight="1">
      <c r="A2301" s="1444">
        <f>COUNTIF($C$12:C2301,"x")</f>
        <v>60</v>
      </c>
      <c r="B2301" s="1445" t="s">
        <v>1652</v>
      </c>
      <c r="C2301" s="966" t="str">
        <f t="shared" si="398"/>
        <v xml:space="preserve"> </v>
      </c>
      <c r="D2301" s="1424">
        <f>pp_NC!EH184</f>
        <v>0</v>
      </c>
      <c r="E2301" s="976" t="str">
        <f>VLOOKUP($B2301,DG!A:D,DG!$B$2,)</f>
        <v>02.3155</v>
      </c>
      <c r="F2301" s="988" t="str">
        <f>VLOOKUP($B2301,DG!A:D,DG!$C$2,)</f>
        <v>FCO 24kV - 100A</v>
      </c>
      <c r="G2301" s="976" t="str">
        <f>VLOOKUP($B2301,DG!A:D,DG!$D$2,)</f>
        <v>cái</v>
      </c>
      <c r="H2301" s="1689">
        <f t="shared" si="399"/>
        <v>0</v>
      </c>
      <c r="I2301" s="1689"/>
      <c r="J2301" s="1689">
        <f t="shared" si="400"/>
        <v>0</v>
      </c>
      <c r="K2301" s="1689"/>
      <c r="L2301" s="1689"/>
      <c r="M2301" s="1689"/>
      <c r="N2301" s="1689"/>
      <c r="O2301" s="1689"/>
      <c r="P2301" s="1689">
        <f t="shared" si="394"/>
        <v>0</v>
      </c>
      <c r="Q2301" s="985"/>
      <c r="R2301" s="985"/>
      <c r="S2301" s="985"/>
      <c r="T2301" s="1858">
        <f t="shared" si="395"/>
        <v>0</v>
      </c>
    </row>
    <row r="2302" spans="1:20" ht="22.2" hidden="1" customHeight="1">
      <c r="A2302" s="1444">
        <f>COUNTIF($C$12:C2302,"x")</f>
        <v>60</v>
      </c>
      <c r="B2302" s="1455" t="s">
        <v>386</v>
      </c>
      <c r="C2302" s="966" t="str">
        <f t="shared" si="398"/>
        <v xml:space="preserve"> </v>
      </c>
      <c r="D2302" s="1424"/>
      <c r="E2302" s="976">
        <f>VLOOKUP($B2302,DG!A:D,DG!$B$2,)</f>
        <v>0</v>
      </c>
      <c r="F2302" s="988" t="str">
        <f>VLOOKUP($B2302,DG!A:D,DG!$C$2,)</f>
        <v>Dây chảy 12K</v>
      </c>
      <c r="G2302" s="976" t="str">
        <f>VLOOKUP($B2302,DG!A:D,DG!$D$2,)</f>
        <v>Sợi</v>
      </c>
      <c r="H2302" s="1689">
        <f t="shared" si="399"/>
        <v>0</v>
      </c>
      <c r="I2302" s="1689"/>
      <c r="J2302" s="1689">
        <f t="shared" si="400"/>
        <v>0</v>
      </c>
      <c r="K2302" s="1689"/>
      <c r="L2302" s="1689"/>
      <c r="M2302" s="1689"/>
      <c r="N2302" s="1689"/>
      <c r="O2302" s="1689"/>
      <c r="P2302" s="1689">
        <f t="shared" si="394"/>
        <v>0</v>
      </c>
      <c r="Q2302" s="985"/>
      <c r="R2302" s="985"/>
      <c r="S2302" s="985"/>
      <c r="T2302" s="1858">
        <f t="shared" si="395"/>
        <v>0</v>
      </c>
    </row>
    <row r="2303" spans="1:20" ht="22.2" hidden="1" customHeight="1">
      <c r="A2303" s="1444">
        <f>COUNTIF($C$12:C2303,"x")</f>
        <v>60</v>
      </c>
      <c r="B2303" s="1455" t="s">
        <v>4341</v>
      </c>
      <c r="C2303" s="966" t="str">
        <f t="shared" si="398"/>
        <v xml:space="preserve"> </v>
      </c>
      <c r="D2303" s="1424"/>
      <c r="E2303" s="976">
        <f>VLOOKUP($B2303,DG!A:D,DG!$B$2,)</f>
        <v>0</v>
      </c>
      <c r="F2303" s="988" t="str">
        <f>VLOOKUP($B2303,DG!A:D,DG!$C$2,)</f>
        <v>Chụp cách điện đầu cực FCO (trên + dưới)</v>
      </c>
      <c r="G2303" s="976" t="str">
        <f>VLOOKUP($B2303,DG!A:D,DG!$D$2,)</f>
        <v>bộ</v>
      </c>
      <c r="H2303" s="1689">
        <f t="shared" si="399"/>
        <v>0</v>
      </c>
      <c r="I2303" s="1689"/>
      <c r="J2303" s="1689">
        <f t="shared" si="400"/>
        <v>0</v>
      </c>
      <c r="K2303" s="1689"/>
      <c r="L2303" s="1689"/>
      <c r="M2303" s="1689"/>
      <c r="N2303" s="1689"/>
      <c r="O2303" s="1689"/>
      <c r="P2303" s="1689">
        <f>H2303+Q2303-R2303</f>
        <v>0</v>
      </c>
      <c r="Q2303" s="985"/>
      <c r="R2303" s="985"/>
      <c r="S2303" s="985"/>
      <c r="T2303" s="1858">
        <f t="shared" si="395"/>
        <v>0</v>
      </c>
    </row>
    <row r="2304" spans="1:20" ht="22.2" hidden="1" customHeight="1">
      <c r="A2304" s="1444">
        <f>COUNTIF($C$12:C2304,"x")</f>
        <v>60</v>
      </c>
      <c r="B2304" s="1456" t="s">
        <v>446</v>
      </c>
      <c r="C2304" s="966" t="str">
        <f t="shared" si="398"/>
        <v xml:space="preserve"> </v>
      </c>
      <c r="D2304" s="1424"/>
      <c r="E2304" s="976" t="str">
        <f>VLOOKUP($B2304,DG!A:D,DG!$B$2,)</f>
        <v>02.3302</v>
      </c>
      <c r="F2304" s="988" t="str">
        <f>VLOOKUP($B2304,DG!A:D,DG!$C$2,)</f>
        <v xml:space="preserve">DS 1P - 24KV - 600A </v>
      </c>
      <c r="G2304" s="976" t="str">
        <f>VLOOKUP($B2304,DG!A:D,DG!$D$2,)</f>
        <v>bộ</v>
      </c>
      <c r="H2304" s="1689">
        <f t="shared" si="399"/>
        <v>0</v>
      </c>
      <c r="I2304" s="1689"/>
      <c r="J2304" s="1689">
        <f t="shared" si="400"/>
        <v>0</v>
      </c>
      <c r="K2304" s="1689"/>
      <c r="L2304" s="1689"/>
      <c r="M2304" s="1689"/>
      <c r="N2304" s="1689"/>
      <c r="O2304" s="1689"/>
      <c r="P2304" s="1689">
        <f t="shared" si="394"/>
        <v>0</v>
      </c>
      <c r="Q2304" s="985"/>
      <c r="R2304" s="985"/>
      <c r="S2304" s="985"/>
      <c r="T2304" s="1858">
        <f t="shared" si="395"/>
        <v>0</v>
      </c>
    </row>
    <row r="2305" spans="1:20" ht="22.2" hidden="1" customHeight="1">
      <c r="A2305" s="1444">
        <f>COUNTIF($C$12:C2305,"x")</f>
        <v>60</v>
      </c>
      <c r="B2305" s="1456" t="s">
        <v>1921</v>
      </c>
      <c r="C2305" s="966" t="str">
        <f t="shared" si="398"/>
        <v xml:space="preserve"> </v>
      </c>
      <c r="D2305" s="1424">
        <f>pp_NC!EJ184</f>
        <v>0</v>
      </c>
      <c r="E2305" s="976" t="str">
        <f>VLOOKUP($B2305,DG!A:D,DG!$B$2,)</f>
        <v>02.3302</v>
      </c>
      <c r="F2305" s="988" t="str">
        <f>VLOOKUP($B2305,DG!A:D,DG!$C$2,)</f>
        <v xml:space="preserve">DS 3P - 24KV - 630A </v>
      </c>
      <c r="G2305" s="976" t="str">
        <f>VLOOKUP($B2305,DG!A:D,DG!$D$2,)</f>
        <v>bộ</v>
      </c>
      <c r="H2305" s="1689">
        <f t="shared" si="399"/>
        <v>0</v>
      </c>
      <c r="I2305" s="1689"/>
      <c r="J2305" s="1689">
        <f t="shared" si="400"/>
        <v>0</v>
      </c>
      <c r="K2305" s="1689"/>
      <c r="L2305" s="1689"/>
      <c r="M2305" s="1689"/>
      <c r="N2305" s="1689"/>
      <c r="O2305" s="1689"/>
      <c r="P2305" s="1689">
        <f t="shared" si="394"/>
        <v>0</v>
      </c>
      <c r="Q2305" s="985"/>
      <c r="R2305" s="985"/>
      <c r="S2305" s="985"/>
      <c r="T2305" s="1858">
        <f t="shared" si="395"/>
        <v>0</v>
      </c>
    </row>
    <row r="2306" spans="1:20" ht="22.2" hidden="1" customHeight="1">
      <c r="A2306" s="1444">
        <f>COUNTIF($C$12:C2306,"x")</f>
        <v>60</v>
      </c>
      <c r="B2306" s="1456" t="s">
        <v>602</v>
      </c>
      <c r="C2306" s="966" t="str">
        <f t="shared" si="398"/>
        <v xml:space="preserve"> </v>
      </c>
      <c r="D2306" s="1424"/>
      <c r="E2306" s="976" t="str">
        <f>VLOOKUP($B2306,DG!A:D,DG!$B$2,)</f>
        <v>02.2124</v>
      </c>
      <c r="F2306" s="988" t="str">
        <f>VLOOKUP($B2306,DG!A:D,DG!$C$2,)</f>
        <v>LBS SF6 3pha 24kV 630A - 16kA</v>
      </c>
      <c r="G2306" s="976" t="str">
        <f>VLOOKUP($B2306,DG!A:D,DG!$D$2,)</f>
        <v>bộ</v>
      </c>
      <c r="H2306" s="1689">
        <f t="shared" si="399"/>
        <v>0</v>
      </c>
      <c r="I2306" s="1689"/>
      <c r="J2306" s="1689">
        <f t="shared" si="400"/>
        <v>0</v>
      </c>
      <c r="K2306" s="1689"/>
      <c r="L2306" s="1689"/>
      <c r="M2306" s="1689"/>
      <c r="N2306" s="1689"/>
      <c r="O2306" s="1689"/>
      <c r="P2306" s="1689">
        <f t="shared" si="394"/>
        <v>0</v>
      </c>
      <c r="Q2306" s="985"/>
      <c r="R2306" s="985"/>
      <c r="S2306" s="985"/>
      <c r="T2306" s="1858">
        <f t="shared" si="395"/>
        <v>0</v>
      </c>
    </row>
    <row r="2307" spans="1:20" ht="22.2" hidden="1" customHeight="1">
      <c r="A2307" s="1444">
        <f>COUNTIF($C$12:C2307,"x")</f>
        <v>60</v>
      </c>
      <c r="B2307" s="1456" t="s">
        <v>1912</v>
      </c>
      <c r="C2307" s="966" t="str">
        <f t="shared" si="398"/>
        <v xml:space="preserve"> </v>
      </c>
      <c r="D2307" s="1424"/>
      <c r="E2307" s="976" t="e">
        <f>VLOOKUP($B2307,DG!A:D,DG!$B$2,)</f>
        <v>#N/A</v>
      </c>
      <c r="F2307" s="988" t="e">
        <f>VLOOKUP($B2307,DG!A:D,DG!$C$2,)</f>
        <v>#N/A</v>
      </c>
      <c r="G2307" s="976" t="e">
        <f>VLOOKUP($B2307,DG!A:D,DG!$D$2,)</f>
        <v>#N/A</v>
      </c>
      <c r="H2307" s="1689">
        <f t="shared" si="399"/>
        <v>0</v>
      </c>
      <c r="I2307" s="1689"/>
      <c r="J2307" s="1689">
        <f t="shared" si="400"/>
        <v>0</v>
      </c>
      <c r="K2307" s="1689"/>
      <c r="L2307" s="1689"/>
      <c r="M2307" s="1689"/>
      <c r="N2307" s="1689"/>
      <c r="O2307" s="1689"/>
      <c r="P2307" s="1689">
        <f t="shared" si="394"/>
        <v>0</v>
      </c>
      <c r="Q2307" s="985"/>
      <c r="R2307" s="985"/>
      <c r="S2307" s="985"/>
      <c r="T2307" s="1858">
        <f t="shared" si="395"/>
        <v>0</v>
      </c>
    </row>
    <row r="2308" spans="1:20" ht="22.2" hidden="1" customHeight="1">
      <c r="A2308" s="1444">
        <f>COUNTIF($C$12:C2308,"x")</f>
        <v>60</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5"/>
        <v>0</v>
      </c>
    </row>
    <row r="2309" spans="1:20" ht="22.2" hidden="1" customHeight="1">
      <c r="A2309" s="1444">
        <f>COUNTIF($C$12:C2309,"x")</f>
        <v>60</v>
      </c>
      <c r="B2309" s="1456" t="s">
        <v>788</v>
      </c>
      <c r="C2309" s="966" t="str">
        <f t="shared" si="398"/>
        <v xml:space="preserve"> </v>
      </c>
      <c r="D2309" s="1425">
        <f>+'pp3p2m '!DM82</f>
        <v>0</v>
      </c>
      <c r="E2309" s="976" t="str">
        <f>VLOOKUP($B2309,DG!A:D,DG!$B$2,)</f>
        <v>02.3104</v>
      </c>
      <c r="F2309" s="988" t="str">
        <f>VLOOKUP($B2309,DG!A:D,DG!$C$2,)</f>
        <v>LTD 1P 24KV - 800A</v>
      </c>
      <c r="G2309" s="976" t="str">
        <f>VLOOKUP($B2309,DG!A:D,DG!$D$2,)</f>
        <v>cái</v>
      </c>
      <c r="H2309" s="1690">
        <f t="shared" ref="H2309:H2318" si="401">D2309</f>
        <v>0</v>
      </c>
      <c r="I2309" s="1690">
        <f t="shared" ref="I2309:I2318" si="402">D2309</f>
        <v>0</v>
      </c>
      <c r="J2309" s="1690"/>
      <c r="K2309" s="1690"/>
      <c r="L2309" s="1690"/>
      <c r="M2309" s="1690"/>
      <c r="N2309" s="1690"/>
      <c r="O2309" s="1690"/>
      <c r="P2309" s="1689">
        <f t="shared" si="394"/>
        <v>0</v>
      </c>
      <c r="Q2309" s="984"/>
      <c r="R2309" s="984"/>
      <c r="S2309" s="984"/>
      <c r="T2309" s="1858">
        <f t="shared" si="395"/>
        <v>0</v>
      </c>
    </row>
    <row r="2310" spans="1:20" ht="22.2" hidden="1" customHeight="1">
      <c r="A2310" s="1444">
        <f>COUNTIF($C$12:C2310,"x")</f>
        <v>60</v>
      </c>
      <c r="B2310" s="1456" t="s">
        <v>2125</v>
      </c>
      <c r="C2310" s="966" t="str">
        <f t="shared" si="398"/>
        <v xml:space="preserve"> </v>
      </c>
      <c r="D2310" s="1425"/>
      <c r="E2310" s="976" t="str">
        <f>VLOOKUP($B2310,DG!A:D,DG!$B$2,)</f>
        <v>02.3505</v>
      </c>
      <c r="F2310" s="988" t="str">
        <f>VLOOKUP($B2310,DG!A:D,DG!$C$2,)</f>
        <v>LBFCO-24KV-100A</v>
      </c>
      <c r="G2310" s="976" t="str">
        <f>VLOOKUP($B2310,DG!A:D,DG!$D$2,)</f>
        <v>cái</v>
      </c>
      <c r="H2310" s="1690">
        <f t="shared" si="401"/>
        <v>0</v>
      </c>
      <c r="I2310" s="1690">
        <f t="shared" si="402"/>
        <v>0</v>
      </c>
      <c r="J2310" s="1690"/>
      <c r="K2310" s="1690"/>
      <c r="L2310" s="1690"/>
      <c r="M2310" s="1690"/>
      <c r="N2310" s="1690"/>
      <c r="O2310" s="1690"/>
      <c r="P2310" s="1689">
        <f t="shared" si="394"/>
        <v>0</v>
      </c>
      <c r="Q2310" s="984"/>
      <c r="R2310" s="984"/>
      <c r="S2310" s="984"/>
      <c r="T2310" s="1858">
        <f t="shared" si="395"/>
        <v>0</v>
      </c>
    </row>
    <row r="2311" spans="1:20" ht="22.2" hidden="1" customHeight="1">
      <c r="A2311" s="1444">
        <f>COUNTIF($C$12:C2311,"x")</f>
        <v>60</v>
      </c>
      <c r="B2311" s="1456" t="s">
        <v>1653</v>
      </c>
      <c r="C2311" s="966" t="str">
        <f t="shared" si="398"/>
        <v xml:space="preserve"> </v>
      </c>
      <c r="D2311" s="1425"/>
      <c r="E2311" s="976" t="str">
        <f>VLOOKUP($B2311,DG!A:D,DG!$B$2,)</f>
        <v>02.3505</v>
      </c>
      <c r="F2311" s="988" t="str">
        <f>VLOOKUP($B2311,DG!A:D,DG!$C$2,)</f>
        <v xml:space="preserve">FCO 24KV - 200A </v>
      </c>
      <c r="G2311" s="976" t="str">
        <f>VLOOKUP($B2311,DG!A:D,DG!$D$2,)</f>
        <v>cái</v>
      </c>
      <c r="H2311" s="1690">
        <f t="shared" si="401"/>
        <v>0</v>
      </c>
      <c r="I2311" s="1690">
        <f t="shared" si="402"/>
        <v>0</v>
      </c>
      <c r="J2311" s="1690"/>
      <c r="K2311" s="1690"/>
      <c r="L2311" s="1690"/>
      <c r="M2311" s="1690"/>
      <c r="N2311" s="1690"/>
      <c r="O2311" s="1690"/>
      <c r="P2311" s="1689">
        <f t="shared" si="394"/>
        <v>0</v>
      </c>
      <c r="Q2311" s="984"/>
      <c r="R2311" s="984"/>
      <c r="S2311" s="984"/>
      <c r="T2311" s="1858">
        <f t="shared" si="395"/>
        <v>0</v>
      </c>
    </row>
    <row r="2312" spans="1:20" ht="22.2" hidden="1" customHeight="1">
      <c r="A2312" s="1444">
        <f>COUNTIF($C$12:C2312,"x")</f>
        <v>60</v>
      </c>
      <c r="B2312" s="1445" t="s">
        <v>1652</v>
      </c>
      <c r="C2312" s="966" t="str">
        <f t="shared" si="398"/>
        <v xml:space="preserve"> </v>
      </c>
      <c r="D2312" s="1425"/>
      <c r="E2312" s="976" t="str">
        <f>VLOOKUP($B2312,DG!A:D,DG!$B$2,)</f>
        <v>02.3155</v>
      </c>
      <c r="F2312" s="988" t="str">
        <f>VLOOKUP($B2312,DG!A:D,DG!$C$2,)</f>
        <v>FCO 24kV - 100A</v>
      </c>
      <c r="G2312" s="976" t="str">
        <f>VLOOKUP($B2312,DG!A:D,DG!$D$2,)</f>
        <v>cái</v>
      </c>
      <c r="H2312" s="1690">
        <f t="shared" si="401"/>
        <v>0</v>
      </c>
      <c r="I2312" s="1690">
        <f t="shared" si="402"/>
        <v>0</v>
      </c>
      <c r="J2312" s="1690"/>
      <c r="K2312" s="1690"/>
      <c r="L2312" s="1690"/>
      <c r="M2312" s="1690"/>
      <c r="N2312" s="1690"/>
      <c r="O2312" s="1690"/>
      <c r="P2312" s="1689">
        <f t="shared" si="394"/>
        <v>0</v>
      </c>
      <c r="Q2312" s="984"/>
      <c r="R2312" s="984"/>
      <c r="S2312" s="984"/>
      <c r="T2312" s="1858">
        <f t="shared" si="395"/>
        <v>0</v>
      </c>
    </row>
    <row r="2313" spans="1:20" ht="22.2" hidden="1" customHeight="1">
      <c r="A2313" s="1444">
        <f>COUNTIF($C$12:C2313,"x")</f>
        <v>60</v>
      </c>
      <c r="B2313" s="1456" t="s">
        <v>446</v>
      </c>
      <c r="C2313" s="966" t="str">
        <f t="shared" si="398"/>
        <v xml:space="preserve"> </v>
      </c>
      <c r="D2313" s="1425"/>
      <c r="E2313" s="976" t="str">
        <f>VLOOKUP($B2313,DG!A:D,DG!$B$2,)</f>
        <v>02.3302</v>
      </c>
      <c r="F2313" s="988" t="str">
        <f>VLOOKUP($B2313,DG!A:D,DG!$C$2,)</f>
        <v xml:space="preserve">DS 1P - 24KV - 600A </v>
      </c>
      <c r="G2313" s="976" t="str">
        <f>VLOOKUP($B2313,DG!A:D,DG!$D$2,)</f>
        <v>bộ</v>
      </c>
      <c r="H2313" s="1690">
        <f t="shared" si="401"/>
        <v>0</v>
      </c>
      <c r="I2313" s="1690">
        <f t="shared" si="402"/>
        <v>0</v>
      </c>
      <c r="J2313" s="1690"/>
      <c r="K2313" s="1690"/>
      <c r="L2313" s="1690"/>
      <c r="M2313" s="1690"/>
      <c r="N2313" s="1690"/>
      <c r="O2313" s="1690"/>
      <c r="P2313" s="1689">
        <f t="shared" si="394"/>
        <v>0</v>
      </c>
      <c r="Q2313" s="984"/>
      <c r="R2313" s="984"/>
      <c r="S2313" s="984"/>
      <c r="T2313" s="1858">
        <f t="shared" si="395"/>
        <v>0</v>
      </c>
    </row>
    <row r="2314" spans="1:20" ht="22.2" hidden="1" customHeight="1">
      <c r="A2314" s="1444">
        <f>COUNTIF($C$12:C2314,"x")</f>
        <v>60</v>
      </c>
      <c r="B2314" s="1456" t="s">
        <v>393</v>
      </c>
      <c r="C2314" s="966" t="str">
        <f t="shared" si="398"/>
        <v xml:space="preserve"> </v>
      </c>
      <c r="D2314" s="1425">
        <f>'pp3p2m '!DQ82</f>
        <v>0</v>
      </c>
      <c r="E2314" s="976" t="str">
        <f>VLOOKUP($B2314,DG!A:D,DG!$B$2,)</f>
        <v>02.3302</v>
      </c>
      <c r="F2314" s="988" t="str">
        <f>VLOOKUP($B2314,DG!A:D,DG!$C$2,)</f>
        <v xml:space="preserve">DS 3P - 24KV - 630A </v>
      </c>
      <c r="G2314" s="976" t="str">
        <f>VLOOKUP($B2314,DG!A:D,DG!$D$2,)</f>
        <v>bộ</v>
      </c>
      <c r="H2314" s="1690">
        <f t="shared" si="401"/>
        <v>0</v>
      </c>
      <c r="I2314" s="1690">
        <f t="shared" si="402"/>
        <v>0</v>
      </c>
      <c r="J2314" s="1690"/>
      <c r="K2314" s="1690"/>
      <c r="L2314" s="1690"/>
      <c r="M2314" s="1690"/>
      <c r="N2314" s="1690"/>
      <c r="O2314" s="1690"/>
      <c r="P2314" s="1689">
        <f t="shared" si="394"/>
        <v>0</v>
      </c>
      <c r="Q2314" s="984"/>
      <c r="R2314" s="984"/>
      <c r="S2314" s="984"/>
      <c r="T2314" s="1858">
        <f t="shared" si="395"/>
        <v>0</v>
      </c>
    </row>
    <row r="2315" spans="1:20" ht="22.2" hidden="1" customHeight="1">
      <c r="A2315" s="1444">
        <f>COUNTIF($C$12:C2315,"x")</f>
        <v>60</v>
      </c>
      <c r="B2315" s="1456" t="s">
        <v>602</v>
      </c>
      <c r="C2315" s="966" t="str">
        <f t="shared" si="398"/>
        <v xml:space="preserve"> </v>
      </c>
      <c r="D2315" s="1425"/>
      <c r="E2315" s="976" t="str">
        <f>VLOOKUP($B2315,DG!A:D,DG!$B$2,)</f>
        <v>02.2124</v>
      </c>
      <c r="F2315" s="988" t="str">
        <f>VLOOKUP($B2315,DG!A:D,DG!$C$2,)</f>
        <v>LBS SF6 3pha 24kV 630A - 16kA</v>
      </c>
      <c r="G2315" s="976" t="str">
        <f>VLOOKUP($B2315,DG!A:D,DG!$D$2,)</f>
        <v>bộ</v>
      </c>
      <c r="H2315" s="1690">
        <f t="shared" si="401"/>
        <v>0</v>
      </c>
      <c r="I2315" s="1690">
        <f t="shared" si="402"/>
        <v>0</v>
      </c>
      <c r="J2315" s="1690"/>
      <c r="K2315" s="1690"/>
      <c r="L2315" s="1690"/>
      <c r="M2315" s="1690"/>
      <c r="N2315" s="1690"/>
      <c r="O2315" s="1690"/>
      <c r="P2315" s="1689">
        <f t="shared" si="394"/>
        <v>0</v>
      </c>
      <c r="Q2315" s="984"/>
      <c r="R2315" s="984"/>
      <c r="S2315" s="984"/>
      <c r="T2315" s="1858">
        <f t="shared" si="395"/>
        <v>0</v>
      </c>
    </row>
    <row r="2316" spans="1:20" ht="22.2" hidden="1" customHeight="1">
      <c r="A2316" s="1444">
        <f>COUNTIF($C$12:C2316,"x")</f>
        <v>60</v>
      </c>
      <c r="B2316" s="1456" t="s">
        <v>1912</v>
      </c>
      <c r="C2316" s="966" t="str">
        <f t="shared" si="398"/>
        <v xml:space="preserve"> </v>
      </c>
      <c r="D2316" s="1425"/>
      <c r="E2316" s="976" t="e">
        <f>VLOOKUP($B2316,DG!A:D,DG!$B$2,)</f>
        <v>#N/A</v>
      </c>
      <c r="F2316" s="988" t="e">
        <f>VLOOKUP($B2316,DG!A:D,DG!$C$2,)</f>
        <v>#N/A</v>
      </c>
      <c r="G2316" s="976" t="e">
        <f>VLOOKUP($B2316,DG!A:D,DG!$D$2,)</f>
        <v>#N/A</v>
      </c>
      <c r="H2316" s="1690">
        <f t="shared" si="401"/>
        <v>0</v>
      </c>
      <c r="I2316" s="1690">
        <f t="shared" si="402"/>
        <v>0</v>
      </c>
      <c r="J2316" s="1690"/>
      <c r="K2316" s="1690"/>
      <c r="L2316" s="1690"/>
      <c r="M2316" s="1690"/>
      <c r="N2316" s="1690"/>
      <c r="O2316" s="1690"/>
      <c r="P2316" s="1689">
        <f t="shared" si="394"/>
        <v>0</v>
      </c>
      <c r="Q2316" s="984"/>
      <c r="R2316" s="984"/>
      <c r="S2316" s="984"/>
      <c r="T2316" s="1858">
        <f t="shared" si="395"/>
        <v>0</v>
      </c>
    </row>
    <row r="2317" spans="1:20" ht="22.2" hidden="1" customHeight="1">
      <c r="A2317" s="1444">
        <f>COUNTIF($C$12:C2317,"x")</f>
        <v>60</v>
      </c>
      <c r="B2317" s="1456" t="s">
        <v>1373</v>
      </c>
      <c r="C2317" s="966" t="str">
        <f t="shared" si="398"/>
        <v xml:space="preserve"> </v>
      </c>
      <c r="D2317" s="1425"/>
      <c r="E2317" s="976" t="str">
        <f>VLOOKUP($B2317,DG!A:D,DG!$B$2,)</f>
        <v>02.5114</v>
      </c>
      <c r="F2317" s="988" t="str">
        <f>VLOOKUP($B2317,DG!A:D,DG!$C$2,)</f>
        <v>Chống sét van LA-18KV-10KA</v>
      </c>
      <c r="G2317" s="976" t="str">
        <f>VLOOKUP($B2317,DG!A:D,DG!$D$2,)</f>
        <v>cái</v>
      </c>
      <c r="H2317" s="1690">
        <f t="shared" si="401"/>
        <v>0</v>
      </c>
      <c r="I2317" s="1690">
        <f t="shared" si="402"/>
        <v>0</v>
      </c>
      <c r="J2317" s="1690"/>
      <c r="K2317" s="1690"/>
      <c r="L2317" s="1690"/>
      <c r="M2317" s="1690"/>
      <c r="N2317" s="1690"/>
      <c r="O2317" s="1690"/>
      <c r="P2317" s="1689">
        <f t="shared" si="394"/>
        <v>0</v>
      </c>
      <c r="Q2317" s="984"/>
      <c r="R2317" s="984"/>
      <c r="S2317" s="984"/>
      <c r="T2317" s="1858">
        <f t="shared" si="395"/>
        <v>0</v>
      </c>
    </row>
    <row r="2318" spans="1:20" ht="22.2" hidden="1" customHeight="1">
      <c r="A2318" s="1444">
        <f>COUNTIF($C$12:C2318,"x")</f>
        <v>60</v>
      </c>
      <c r="B2318" s="1456" t="s">
        <v>966</v>
      </c>
      <c r="C2318" s="966" t="str">
        <f t="shared" si="398"/>
        <v xml:space="preserve"> </v>
      </c>
      <c r="D2318" s="1425"/>
      <c r="E2318" s="976" t="str">
        <f>VLOOKUP($B2318,DG!A:D,DG!$B$2,)</f>
        <v>02.5114</v>
      </c>
      <c r="F2318" s="988" t="str">
        <f>VLOOKUP($B2318,DG!A:D,DG!$C$2,)</f>
        <v>LA 12kV 10kA</v>
      </c>
      <c r="G2318" s="976" t="str">
        <f>VLOOKUP($B2318,DG!A:D,DG!$D$2,)</f>
        <v>cái</v>
      </c>
      <c r="H2318" s="1690">
        <f t="shared" si="401"/>
        <v>0</v>
      </c>
      <c r="I2318" s="1690">
        <f t="shared" si="402"/>
        <v>0</v>
      </c>
      <c r="J2318" s="1690"/>
      <c r="K2318" s="1690"/>
      <c r="L2318" s="1690"/>
      <c r="M2318" s="1690"/>
      <c r="N2318" s="1690"/>
      <c r="O2318" s="1690"/>
      <c r="P2318" s="1689">
        <f t="shared" si="394"/>
        <v>0</v>
      </c>
      <c r="Q2318" s="984"/>
      <c r="R2318" s="984"/>
      <c r="S2318" s="984"/>
      <c r="T2318" s="1858">
        <f t="shared" si="395"/>
        <v>0</v>
      </c>
    </row>
    <row r="2319" spans="1:20" ht="22.2" customHeight="1">
      <c r="A2319" s="1444">
        <f>COUNTIF($C$12:C2319,"x")</f>
        <v>61</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2" hidden="1" customHeight="1">
      <c r="A2320" s="1444">
        <f>COUNTIF($C$12:C2320,"x")</f>
        <v>61</v>
      </c>
      <c r="B2320" s="1456" t="s">
        <v>788</v>
      </c>
      <c r="C2320" s="966" t="str">
        <f t="shared" si="398"/>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4"/>
        <v>0</v>
      </c>
      <c r="Q2320" s="984"/>
      <c r="R2320" s="984"/>
      <c r="S2320" s="984"/>
      <c r="T2320" s="1858">
        <f>IFERROR(HLOOKUP(B2320,pp3p1m!$1:$3,3,0),0)</f>
        <v>0</v>
      </c>
    </row>
    <row r="2321" spans="1:20" ht="22.2" hidden="1" customHeight="1">
      <c r="A2321" s="1444">
        <f>COUNTIF($C$12:C2321,"x")</f>
        <v>61</v>
      </c>
      <c r="B2321" s="1456" t="s">
        <v>2125</v>
      </c>
      <c r="C2321" s="966" t="str">
        <f t="shared" si="398"/>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3">T2321</f>
        <v>0</v>
      </c>
      <c r="I2321" s="1690"/>
      <c r="J2321" s="1690"/>
      <c r="K2321" s="1690">
        <f>IFERROR(HLOOKUP(B2321,pp3p1m!$1:$3,2,0),0)</f>
        <v>0</v>
      </c>
      <c r="L2321" s="1690"/>
      <c r="M2321" s="1690"/>
      <c r="N2321" s="1690"/>
      <c r="O2321" s="1690"/>
      <c r="P2321" s="1689">
        <f t="shared" si="394"/>
        <v>0</v>
      </c>
      <c r="Q2321" s="984"/>
      <c r="R2321" s="984"/>
      <c r="S2321" s="984"/>
      <c r="T2321" s="1858">
        <f>IFERROR(HLOOKUP(B2321,pp3p1m!$1:$3,3,0),0)</f>
        <v>0</v>
      </c>
    </row>
    <row r="2322" spans="1:20" ht="22.2" hidden="1" customHeight="1">
      <c r="A2322" s="1444">
        <f>COUNTIF($C$12:C2322,"x")</f>
        <v>61</v>
      </c>
      <c r="B2322" s="1456" t="s">
        <v>591</v>
      </c>
      <c r="C2322" s="966" t="str">
        <f t="shared" si="398"/>
        <v xml:space="preserve"> </v>
      </c>
      <c r="D2322" s="1433"/>
      <c r="E2322" s="976">
        <f>VLOOKUP($B2322,DG!A:D,DG!$B$2,)</f>
        <v>0</v>
      </c>
      <c r="F2322" s="988" t="str">
        <f>VLOOKUP($B2322,DG!A:D,DG!$C$2,)</f>
        <v>Dây chảy 80K</v>
      </c>
      <c r="G2322" s="976" t="str">
        <f>VLOOKUP($B2322,DG!A:D,DG!$D$2,)</f>
        <v>Sợi</v>
      </c>
      <c r="H2322" s="1690">
        <f t="shared" si="403"/>
        <v>0</v>
      </c>
      <c r="I2322" s="1690"/>
      <c r="J2322" s="1690"/>
      <c r="K2322" s="1690">
        <f>IFERROR(HLOOKUP(B2322,pp3p1m!$1:$3,2,0),0)</f>
        <v>0</v>
      </c>
      <c r="L2322" s="1690"/>
      <c r="M2322" s="1690"/>
      <c r="N2322" s="1690"/>
      <c r="O2322" s="1690"/>
      <c r="P2322" s="1689">
        <f t="shared" si="394"/>
        <v>0</v>
      </c>
      <c r="Q2322" s="984"/>
      <c r="R2322" s="984"/>
      <c r="S2322" s="984"/>
      <c r="T2322" s="1858">
        <f>IFERROR(HLOOKUP(B2322,pp3p1m!$1:$3,3,0),0)</f>
        <v>0</v>
      </c>
    </row>
    <row r="2323" spans="1:20" ht="22.2" hidden="1" customHeight="1">
      <c r="A2323" s="1444">
        <f>COUNTIF($C$12:C2323,"x")</f>
        <v>61</v>
      </c>
      <c r="B2323" s="1456" t="s">
        <v>4594</v>
      </c>
      <c r="C2323" s="966" t="str">
        <f t="shared" si="398"/>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3"/>
        <v>0</v>
      </c>
      <c r="I2323" s="1690"/>
      <c r="J2323" s="1690"/>
      <c r="K2323" s="1690">
        <f>IFERROR(HLOOKUP(B2323,pp3p1m!$1:$3,2,0),0)</f>
        <v>0</v>
      </c>
      <c r="L2323" s="1690"/>
      <c r="M2323" s="1690"/>
      <c r="N2323" s="1690"/>
      <c r="O2323" s="1690"/>
      <c r="P2323" s="1689">
        <f t="shared" si="394"/>
        <v>0</v>
      </c>
      <c r="Q2323" s="984"/>
      <c r="R2323" s="984"/>
      <c r="S2323" s="984"/>
      <c r="T2323" s="1858">
        <f>IFERROR(HLOOKUP(B2323,pp3p1m!$1:$3,3,0),0)</f>
        <v>0</v>
      </c>
    </row>
    <row r="2324" spans="1:20" ht="22.2" hidden="1" customHeight="1">
      <c r="A2324" s="1444">
        <f>COUNTIF($C$12:C2324,"x")</f>
        <v>61</v>
      </c>
      <c r="B2324" s="1456" t="s">
        <v>885</v>
      </c>
      <c r="C2324" s="966" t="str">
        <f t="shared" si="398"/>
        <v xml:space="preserve"> </v>
      </c>
      <c r="D2324" s="1425"/>
      <c r="E2324" s="976">
        <f>VLOOKUP($B2324,DG!A:D,DG!$B$2,)</f>
        <v>0</v>
      </c>
      <c r="F2324" s="988" t="str">
        <f>VLOOKUP($B2324,DG!A:D,DG!$C$2,)</f>
        <v>Dây chảy 100K</v>
      </c>
      <c r="G2324" s="976" t="str">
        <f>VLOOKUP($B2324,DG!A:D,DG!$D$2,)</f>
        <v>Sợi</v>
      </c>
      <c r="H2324" s="1690">
        <f t="shared" si="403"/>
        <v>0</v>
      </c>
      <c r="I2324" s="1690"/>
      <c r="J2324" s="1690"/>
      <c r="K2324" s="1690">
        <f>IFERROR(HLOOKUP(B2324,pp3p1m!$1:$3,2,0),0)</f>
        <v>0</v>
      </c>
      <c r="L2324" s="1690"/>
      <c r="M2324" s="1690"/>
      <c r="N2324" s="1690"/>
      <c r="O2324" s="1690"/>
      <c r="P2324" s="1689">
        <f t="shared" si="394"/>
        <v>0</v>
      </c>
      <c r="Q2324" s="984"/>
      <c r="R2324" s="984"/>
      <c r="S2324" s="984"/>
      <c r="T2324" s="1858">
        <f>IFERROR(HLOOKUP(B2324,pp3p1m!$1:$3,3,0),0)</f>
        <v>0</v>
      </c>
    </row>
    <row r="2325" spans="1:20" ht="22.2" customHeight="1">
      <c r="A2325" s="1444">
        <f>COUNTIF($C$12:C2325,"x")</f>
        <v>62</v>
      </c>
      <c r="B2325" s="1456" t="s">
        <v>1653</v>
      </c>
      <c r="C2325" s="966" t="str">
        <f t="shared" si="398"/>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2" hidden="1" customHeight="1">
      <c r="A2326" s="1444">
        <f>COUNTIF($C$12:C2326,"x")</f>
        <v>62</v>
      </c>
      <c r="B2326" s="1446" t="s">
        <v>1652</v>
      </c>
      <c r="C2326" s="1697" t="str">
        <f t="shared" si="398"/>
        <v xml:space="preserve"> </v>
      </c>
      <c r="D2326" s="1433">
        <f>H2326</f>
        <v>0</v>
      </c>
      <c r="E2326" s="2675" t="str">
        <f>VLOOKUP($B2326,DG!A:D,DG!$B$2,)</f>
        <v>02.3155</v>
      </c>
      <c r="F2326" s="2676" t="str">
        <f>VLOOKUP($B2326,DG!A:D,DG!$C$2,)</f>
        <v>FCO 24kV - 100A</v>
      </c>
      <c r="G2326" s="2675" t="str">
        <f>VLOOKUP($B2326,DG!A:D,DG!$D$2,)</f>
        <v>cái</v>
      </c>
      <c r="H2326" s="1690">
        <f t="shared" si="403"/>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2" hidden="1" customHeight="1">
      <c r="A2327" s="1444">
        <f>COUNTIF($C$12:C2327,"x")</f>
        <v>63</v>
      </c>
      <c r="B2327" s="1456" t="s">
        <v>6545</v>
      </c>
      <c r="C2327" s="1697" t="str">
        <f t="shared" si="398"/>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2" hidden="1" customHeight="1">
      <c r="A2328" s="1444">
        <f>COUNTIF($C$12:C2328,"x")</f>
        <v>64</v>
      </c>
      <c r="B2328" s="1456" t="s">
        <v>6546</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2" hidden="1" customHeight="1">
      <c r="A2329" s="1444">
        <f>COUNTIF($C$12:C2329,"x")</f>
        <v>64</v>
      </c>
      <c r="B2329" s="1456" t="s">
        <v>6100</v>
      </c>
      <c r="C2329" s="966" t="str">
        <f t="shared" si="398"/>
        <v xml:space="preserve"> </v>
      </c>
      <c r="D2329" s="1433">
        <f>H2329</f>
        <v>0</v>
      </c>
      <c r="E2329" s="976">
        <f>VLOOKUP($B2329,DG!A:D,DG!$B$2,)</f>
        <v>0</v>
      </c>
      <c r="F2329" s="988" t="str">
        <f>VLOOKUP($B2329,DG!A:D,DG!$C$2,)</f>
        <v>Dây chảy 50K</v>
      </c>
      <c r="G2329" s="976" t="str">
        <f>VLOOKUP($B2329,DG!A:D,DG!$D$2,)</f>
        <v>Sợi</v>
      </c>
      <c r="H2329" s="1690">
        <f t="shared" si="403"/>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2" hidden="1" customHeight="1">
      <c r="A2330" s="1444">
        <f>COUNTIF($C$12:C2330,"x")</f>
        <v>64</v>
      </c>
      <c r="B2330" s="1456" t="s">
        <v>4500</v>
      </c>
      <c r="C2330" s="966" t="str">
        <f t="shared" si="398"/>
        <v xml:space="preserve"> </v>
      </c>
      <c r="D2330" s="1425">
        <f>D2341*3</f>
        <v>0</v>
      </c>
      <c r="E2330" s="976" t="str">
        <f>VLOOKUP($B2330,DG!A:D,DG!$B$2,)</f>
        <v>02.1114</v>
      </c>
      <c r="F2330" s="988" t="str">
        <f>VLOOKUP($B2330,DG!A:D,DG!$C$2,)</f>
        <v>Biến điện áp 22000/√3/100/√3 V</v>
      </c>
      <c r="G2330" s="976" t="str">
        <f>VLOOKUP($B2330,DG!A:D,DG!$D$2,)</f>
        <v>cái</v>
      </c>
      <c r="H2330" s="1690">
        <f t="shared" si="403"/>
        <v>0</v>
      </c>
      <c r="I2330" s="1690"/>
      <c r="J2330" s="1690"/>
      <c r="K2330" s="1690">
        <f>IFERROR(HLOOKUP(B2330,pp3p1m!$1:$3,2,0),0)</f>
        <v>0</v>
      </c>
      <c r="L2330" s="1690"/>
      <c r="M2330" s="1690"/>
      <c r="N2330" s="1690"/>
      <c r="O2330" s="1690"/>
      <c r="P2330" s="1689">
        <f t="shared" si="394"/>
        <v>0</v>
      </c>
      <c r="Q2330" s="984"/>
      <c r="R2330" s="984"/>
      <c r="S2330" s="984"/>
      <c r="T2330" s="1858">
        <f>IFERROR(HLOOKUP(B2330,pp3p1m!$1:$3,3,0),0)</f>
        <v>0</v>
      </c>
    </row>
    <row r="2331" spans="1:20" ht="22.2" hidden="1" customHeight="1">
      <c r="A2331" s="1444">
        <f>COUNTIF($C$12:C2331,"x")</f>
        <v>64</v>
      </c>
      <c r="B2331" s="1456" t="s">
        <v>78</v>
      </c>
      <c r="C2331" s="966" t="str">
        <f t="shared" si="398"/>
        <v xml:space="preserve"> </v>
      </c>
      <c r="D2331" s="1433">
        <f>D2330</f>
        <v>0</v>
      </c>
      <c r="E2331" s="976" t="str">
        <f>VLOOKUP($B2331,DG!A:D,DG!$B$2,)</f>
        <v>02.1124</v>
      </c>
      <c r="F2331" s="988" t="str">
        <f>VLOOKUP($B2331,DG!A:D,DG!$C$2,)</f>
        <v>Biến dòng 24kV  20/5A</v>
      </c>
      <c r="G2331" s="976" t="str">
        <f>VLOOKUP($B2331,DG!A:D,DG!$D$2,)</f>
        <v>cái</v>
      </c>
      <c r="H2331" s="1690">
        <f t="shared" si="403"/>
        <v>0</v>
      </c>
      <c r="I2331" s="1690"/>
      <c r="J2331" s="1690"/>
      <c r="K2331" s="1690">
        <f>IFERROR(HLOOKUP(B2331,pp3p1m!$1:$3,2,0),0)</f>
        <v>0</v>
      </c>
      <c r="L2331" s="1690"/>
      <c r="M2331" s="1690"/>
      <c r="N2331" s="1690"/>
      <c r="O2331" s="1690"/>
      <c r="P2331" s="1689">
        <f t="shared" ref="P2331:P2398" si="404">H2331+Q2331-R2331</f>
        <v>0</v>
      </c>
      <c r="Q2331" s="984"/>
      <c r="R2331" s="984"/>
      <c r="S2331" s="984"/>
      <c r="T2331" s="1858">
        <f>IFERROR(HLOOKUP(B2331,pp3p1m!$1:$3,3,0),0)</f>
        <v>0</v>
      </c>
    </row>
    <row r="2332" spans="1:20" ht="22.2" hidden="1" customHeight="1">
      <c r="A2332" s="1444">
        <f>COUNTIF($C$12:C2332,"x")</f>
        <v>64</v>
      </c>
      <c r="B2332" s="1456" t="s">
        <v>2</v>
      </c>
      <c r="C2332" s="966" t="str">
        <f t="shared" si="398"/>
        <v xml:space="preserve"> </v>
      </c>
      <c r="D2332" s="1433">
        <f>D2341</f>
        <v>0</v>
      </c>
      <c r="E2332" s="976">
        <f>VLOOKUP($B2332,DG!A:D,DG!$B$2,)</f>
        <v>0</v>
      </c>
      <c r="F2332" s="988" t="str">
        <f>VLOOKUP($B2332,DG!A:D,DG!$C$2,)</f>
        <v>Điện kế 3 pha điện tử 600V-5A</v>
      </c>
      <c r="G2332" s="976" t="str">
        <f>VLOOKUP($B2332,DG!A:D,DG!$D$2,)</f>
        <v>cái</v>
      </c>
      <c r="H2332" s="1690">
        <f t="shared" si="403"/>
        <v>0</v>
      </c>
      <c r="I2332" s="1690"/>
      <c r="J2332" s="1690"/>
      <c r="K2332" s="1690">
        <f>IFERROR(HLOOKUP(B2332,pp3p1m!$1:$3,2,0),0)</f>
        <v>0</v>
      </c>
      <c r="L2332" s="1690"/>
      <c r="M2332" s="1690"/>
      <c r="N2332" s="1690"/>
      <c r="O2332" s="1690"/>
      <c r="P2332" s="1689">
        <f t="shared" si="404"/>
        <v>0</v>
      </c>
      <c r="Q2332" s="984"/>
      <c r="R2332" s="984"/>
      <c r="S2332" s="984"/>
      <c r="T2332" s="1858">
        <f>IFERROR(HLOOKUP(B2332,pp3p1m!$1:$3,3,0),0)</f>
        <v>0</v>
      </c>
    </row>
    <row r="2333" spans="1:20" ht="22.2" hidden="1" customHeight="1">
      <c r="A2333" s="1444">
        <f>COUNTIF($C$12:C2333,"x")</f>
        <v>64</v>
      </c>
      <c r="B2333" s="1456" t="s">
        <v>446</v>
      </c>
      <c r="C2333" s="966" t="str">
        <f t="shared" si="398"/>
        <v xml:space="preserve"> </v>
      </c>
      <c r="D2333" s="1433"/>
      <c r="E2333" s="976" t="str">
        <f>VLOOKUP($B2333,DG!A:D,DG!$B$2,)</f>
        <v>02.3302</v>
      </c>
      <c r="F2333" s="988" t="str">
        <f>VLOOKUP($B2333,DG!A:D,DG!$C$2,)</f>
        <v xml:space="preserve">DS 1P - 24KV - 600A </v>
      </c>
      <c r="G2333" s="976" t="str">
        <f>VLOOKUP($B2333,DG!A:D,DG!$D$2,)</f>
        <v>bộ</v>
      </c>
      <c r="H2333" s="1690">
        <f t="shared" si="403"/>
        <v>0</v>
      </c>
      <c r="I2333" s="1690"/>
      <c r="J2333" s="1690"/>
      <c r="K2333" s="1690">
        <f>IFERROR(HLOOKUP(B2333,pp3p1m!$1:$3,2,0),0)</f>
        <v>0</v>
      </c>
      <c r="L2333" s="1690"/>
      <c r="M2333" s="1690"/>
      <c r="N2333" s="1690"/>
      <c r="O2333" s="1690"/>
      <c r="P2333" s="1689">
        <f t="shared" si="404"/>
        <v>0</v>
      </c>
      <c r="Q2333" s="984"/>
      <c r="R2333" s="984"/>
      <c r="S2333" s="984"/>
      <c r="T2333" s="1858">
        <f>IFERROR(HLOOKUP(B2333,pp3p1m!$1:$3,3,0),0)</f>
        <v>0</v>
      </c>
    </row>
    <row r="2334" spans="1:20" ht="22.2" hidden="1" customHeight="1">
      <c r="A2334" s="1444">
        <f>COUNTIF($C$12:C2334,"x")</f>
        <v>64</v>
      </c>
      <c r="B2334" s="1456" t="s">
        <v>393</v>
      </c>
      <c r="C2334" s="966" t="str">
        <f t="shared" si="398"/>
        <v xml:space="preserve"> </v>
      </c>
      <c r="D2334" s="1433"/>
      <c r="E2334" s="976" t="str">
        <f>VLOOKUP($B2334,DG!A:D,DG!$B$2,)</f>
        <v>02.3302</v>
      </c>
      <c r="F2334" s="988" t="str">
        <f>VLOOKUP($B2334,DG!A:D,DG!$C$2,)</f>
        <v xml:space="preserve">DS 3P - 24KV - 630A </v>
      </c>
      <c r="G2334" s="976" t="str">
        <f>VLOOKUP($B2334,DG!A:D,DG!$D$2,)</f>
        <v>bộ</v>
      </c>
      <c r="H2334" s="1690">
        <f t="shared" si="403"/>
        <v>0</v>
      </c>
      <c r="I2334" s="1690"/>
      <c r="J2334" s="1690"/>
      <c r="K2334" s="1690">
        <f>IFERROR(HLOOKUP(B2334,pp3p1m!$1:$3,2,0),0)</f>
        <v>0</v>
      </c>
      <c r="L2334" s="1690"/>
      <c r="M2334" s="1690"/>
      <c r="N2334" s="1690"/>
      <c r="O2334" s="1690"/>
      <c r="P2334" s="1689">
        <f t="shared" si="404"/>
        <v>0</v>
      </c>
      <c r="Q2334" s="984"/>
      <c r="R2334" s="984"/>
      <c r="S2334" s="984"/>
      <c r="T2334" s="1858">
        <f>IFERROR(HLOOKUP(B2334,pp3p1m!$1:$3,3,0),0)</f>
        <v>0</v>
      </c>
    </row>
    <row r="2335" spans="1:20" ht="22.2" hidden="1" customHeight="1">
      <c r="A2335" s="1444">
        <f>COUNTIF($C$12:C2335,"x")</f>
        <v>64</v>
      </c>
      <c r="B2335" s="1456" t="s">
        <v>602</v>
      </c>
      <c r="C2335" s="966" t="str">
        <f t="shared" si="398"/>
        <v xml:space="preserve"> </v>
      </c>
      <c r="D2335" s="1433"/>
      <c r="E2335" s="976" t="str">
        <f>VLOOKUP($B2335,DG!A:D,DG!$B$2,)</f>
        <v>02.2124</v>
      </c>
      <c r="F2335" s="988" t="str">
        <f>VLOOKUP($B2335,DG!A:D,DG!$C$2,)</f>
        <v>LBS SF6 3pha 24kV 630A - 16kA</v>
      </c>
      <c r="G2335" s="976" t="str">
        <f>VLOOKUP($B2335,DG!A:D,DG!$D$2,)</f>
        <v>bộ</v>
      </c>
      <c r="H2335" s="1690">
        <f t="shared" si="403"/>
        <v>0</v>
      </c>
      <c r="I2335" s="1690"/>
      <c r="J2335" s="1690"/>
      <c r="K2335" s="1690">
        <f>IFERROR(HLOOKUP(B2335,pp3p1m!$1:$3,2,0),0)</f>
        <v>0</v>
      </c>
      <c r="L2335" s="1690"/>
      <c r="M2335" s="1690"/>
      <c r="N2335" s="1690"/>
      <c r="O2335" s="1690"/>
      <c r="P2335" s="1689">
        <f t="shared" si="404"/>
        <v>0</v>
      </c>
      <c r="Q2335" s="984"/>
      <c r="R2335" s="984"/>
      <c r="S2335" s="984"/>
      <c r="T2335" s="1858">
        <f>IFERROR(HLOOKUP(B2335,pp3p1m!$1:$3,3,0),0)</f>
        <v>0</v>
      </c>
    </row>
    <row r="2336" spans="1:20" ht="22.2" hidden="1" customHeight="1">
      <c r="A2336" s="1444">
        <f>COUNTIF($C$12:C2336,"x")</f>
        <v>64</v>
      </c>
      <c r="B2336" s="1456" t="s">
        <v>6547</v>
      </c>
      <c r="C2336" s="966" t="str">
        <f t="shared" si="398"/>
        <v xml:space="preserve"> </v>
      </c>
      <c r="D2336" s="1433"/>
      <c r="E2336" s="2675" t="str">
        <f>VLOOKUP($B2336,DG!A:D,DG!$B$2,)</f>
        <v>02.2113</v>
      </c>
      <c r="F2336" s="2676" t="str">
        <f>VLOOKUP($B2336,DG!A:D,DG!$C$2,)</f>
        <v>Recloser 24kV 630A - 800A (MBA cấp nguồn + Phụ kiện)</v>
      </c>
      <c r="G2336" s="2675" t="str">
        <f>VLOOKUP($B2336,DG!A:D,DG!$D$2,)</f>
        <v>bộ</v>
      </c>
      <c r="H2336" s="1690">
        <f t="shared" si="403"/>
        <v>0</v>
      </c>
      <c r="I2336" s="1690"/>
      <c r="J2336" s="1690"/>
      <c r="K2336" s="1690">
        <f>IFERROR(HLOOKUP(B2336,pp3p1m!$1:$3,2,0),0)</f>
        <v>0</v>
      </c>
      <c r="L2336" s="1690"/>
      <c r="M2336" s="1690"/>
      <c r="N2336" s="1690"/>
      <c r="O2336" s="1690"/>
      <c r="P2336" s="1689">
        <f t="shared" si="404"/>
        <v>0</v>
      </c>
      <c r="Q2336" s="984"/>
      <c r="R2336" s="984"/>
      <c r="S2336" s="984"/>
      <c r="T2336" s="1858">
        <f>IFERROR(HLOOKUP(B2336,pp3p1m!$1:$3,3,0),0)</f>
        <v>0</v>
      </c>
    </row>
    <row r="2337" spans="1:20" ht="22.2" hidden="1" customHeight="1">
      <c r="A2337" s="1444">
        <f>COUNTIF($C$12:C2337,"x")</f>
        <v>64</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3"/>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2" hidden="1" customHeight="1">
      <c r="A2338" s="1444">
        <f>COUNTIF($C$12:C2338,"x")</f>
        <v>64</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3"/>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2" hidden="1" customHeight="1">
      <c r="A2339" s="1444">
        <f>COUNTIF($C$12:C2339,"x")</f>
        <v>64</v>
      </c>
      <c r="B2339" s="1456" t="s">
        <v>2049</v>
      </c>
      <c r="C2339" s="1697" t="str">
        <f t="shared" si="398"/>
        <v xml:space="preserve"> </v>
      </c>
      <c r="D2339" s="1433"/>
      <c r="E2339" s="976">
        <f>VLOOKUP($B2339,DG!A:D,DG!$B$2,)</f>
        <v>0</v>
      </c>
      <c r="F2339" s="988" t="str">
        <f>VLOOKUP($B2339,DG!A:D,DG!$C$2,)</f>
        <v>Bass LI bắt FCO</v>
      </c>
      <c r="G2339" s="976" t="str">
        <f>VLOOKUP($B2339,DG!A:D,DG!$D$2,)</f>
        <v>Bộ</v>
      </c>
      <c r="H2339" s="1690">
        <f t="shared" si="403"/>
        <v>0</v>
      </c>
      <c r="I2339" s="1690"/>
      <c r="J2339" s="1690"/>
      <c r="K2339" s="1690"/>
      <c r="L2339" s="1690"/>
      <c r="M2339" s="1690"/>
      <c r="N2339" s="1690"/>
      <c r="O2339" s="1690"/>
      <c r="P2339" s="1689">
        <f t="shared" si="404"/>
        <v>0</v>
      </c>
      <c r="Q2339" s="984"/>
      <c r="R2339" s="984"/>
      <c r="S2339" s="984"/>
      <c r="T2339" s="1858">
        <f>IFERROR(HLOOKUP(B2339,pp3p1m!$1:$3,3,0),0)</f>
        <v>0</v>
      </c>
    </row>
    <row r="2340" spans="1:20" ht="22.2" hidden="1" customHeight="1">
      <c r="A2340" s="1444">
        <f>COUNTIF($C$12:C2340,"x")</f>
        <v>64</v>
      </c>
      <c r="B2340" s="1456" t="s">
        <v>382</v>
      </c>
      <c r="C2340" s="1697" t="str">
        <f t="shared" si="398"/>
        <v xml:space="preserve"> </v>
      </c>
      <c r="D2340" s="1433"/>
      <c r="E2340" s="976">
        <f>VLOOKUP($B2340,DG!A:D,DG!$B$2,)</f>
        <v>0</v>
      </c>
      <c r="F2340" s="988" t="str">
        <f>VLOOKUP($B2340,DG!A:D,DG!$C$2,)</f>
        <v>Chụp đầu cực FCO (bộ 2 cái)</v>
      </c>
      <c r="G2340" s="976" t="str">
        <f>VLOOKUP($B2340,DG!A:D,DG!$D$2,)</f>
        <v>bộ</v>
      </c>
      <c r="H2340" s="1690">
        <f t="shared" si="403"/>
        <v>0</v>
      </c>
      <c r="I2340" s="1690"/>
      <c r="J2340" s="1690"/>
      <c r="K2340" s="1690">
        <f>IFERROR(HLOOKUP(B2340,pp3p1m!$1:$3,2,0),0)</f>
        <v>0</v>
      </c>
      <c r="L2340" s="1690"/>
      <c r="M2340" s="1690"/>
      <c r="N2340" s="1690"/>
      <c r="O2340" s="1690"/>
      <c r="P2340" s="1689">
        <f t="shared" si="404"/>
        <v>0</v>
      </c>
      <c r="Q2340" s="984"/>
      <c r="R2340" s="984"/>
      <c r="S2340" s="984"/>
      <c r="T2340" s="1858">
        <f>IFERROR(HLOOKUP(B2340,pp3p1m!$1:$3,3,0),0)</f>
        <v>0</v>
      </c>
    </row>
    <row r="2341" spans="1:20" ht="22.2" hidden="1" customHeight="1">
      <c r="A2341" s="1444">
        <f>COUNTIF($C$12:C2341,"x")</f>
        <v>64</v>
      </c>
      <c r="B2341" s="1448" t="s">
        <v>2312</v>
      </c>
      <c r="C2341" s="966"/>
      <c r="D2341" s="2671"/>
      <c r="E2341" s="978" t="s">
        <v>1664</v>
      </c>
      <c r="F2341" s="1272" t="s">
        <v>2570</v>
      </c>
      <c r="G2341" s="978"/>
      <c r="H2341" s="1687"/>
      <c r="I2341" s="1688">
        <f>SUM(I2342:I2365)</f>
        <v>0</v>
      </c>
      <c r="J2341" s="1688">
        <f t="shared" ref="J2341:L2341" si="405">SUM(J2342:J2365)</f>
        <v>0</v>
      </c>
      <c r="K2341" s="1688">
        <f t="shared" si="405"/>
        <v>0</v>
      </c>
      <c r="L2341" s="1688">
        <f t="shared" si="405"/>
        <v>0</v>
      </c>
      <c r="M2341" s="1688"/>
      <c r="N2341" s="1688"/>
      <c r="O2341" s="1688"/>
      <c r="P2341" s="2663">
        <f>T2341</f>
        <v>0</v>
      </c>
      <c r="Q2341" s="979">
        <f>IF(P2341&gt;H2341,P2341-H2341,0)</f>
        <v>0</v>
      </c>
      <c r="R2341" s="979">
        <f>IF(H2341&gt;P2341,H2341-P2341,0)</f>
        <v>0</v>
      </c>
      <c r="S2341" s="997"/>
      <c r="T2341" s="1858">
        <f t="shared" si="395"/>
        <v>0</v>
      </c>
    </row>
    <row r="2342" spans="1:20" ht="22.2" hidden="1" customHeight="1">
      <c r="A2342" s="1444">
        <f>COUNTIF($C$12:C2342,"x")</f>
        <v>64</v>
      </c>
      <c r="B2342" s="1482" t="s">
        <v>2276</v>
      </c>
      <c r="C2342" s="966" t="str">
        <f t="shared" si="398"/>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4"/>
        <v>0</v>
      </c>
      <c r="Q2342" s="2667"/>
      <c r="R2342" s="984"/>
      <c r="S2342" s="984"/>
      <c r="T2342" s="1858">
        <f>IFERROR(HLOOKUP(B2342,pp3p1m!$1:$3,3,0),0)</f>
        <v>0</v>
      </c>
    </row>
    <row r="2343" spans="1:20" ht="22.2" hidden="1" customHeight="1">
      <c r="A2343" s="1444">
        <f>COUNTIF($C$12:C2343,"x")</f>
        <v>64</v>
      </c>
      <c r="B2343" s="1482" t="s">
        <v>246</v>
      </c>
      <c r="C2343" s="966" t="str">
        <f t="shared" si="398"/>
        <v xml:space="preserve"> </v>
      </c>
      <c r="D2343" s="1434">
        <v>24</v>
      </c>
      <c r="E2343" s="976" t="str">
        <f>VLOOKUP($B2343,DG!A:D,DG!$B$2,)</f>
        <v>05.6101</v>
      </c>
      <c r="F2343" s="988" t="str">
        <f>VLOOKUP($B2343,DG!A:D,DG!$C$2,)</f>
        <v>Xà kẹp TU, TI U50x32x4 350</v>
      </c>
      <c r="G2343" s="976" t="str">
        <f>VLOOKUP($B2343,DG!A:D,DG!$D$2,)</f>
        <v>Bộ</v>
      </c>
      <c r="H2343" s="1690">
        <f t="shared" ref="H2343:H2365" si="406">IF($C$2341&lt;&gt;0,D2343,0)</f>
        <v>0</v>
      </c>
      <c r="I2343" s="1690"/>
      <c r="J2343" s="1690"/>
      <c r="K2343" s="1690">
        <f>IFERROR(HLOOKUP(B2343,pp3p1m!$1:$3,2,0),0)</f>
        <v>0</v>
      </c>
      <c r="L2343" s="1690"/>
      <c r="M2343" s="1690"/>
      <c r="N2343" s="1690"/>
      <c r="O2343" s="1690"/>
      <c r="P2343" s="1689">
        <f t="shared" si="404"/>
        <v>0</v>
      </c>
      <c r="Q2343" s="2667"/>
      <c r="R2343" s="984"/>
      <c r="S2343" s="984"/>
      <c r="T2343" s="1858">
        <f>IFERROR(HLOOKUP(B2343,pp3p1m!$1:$3,3,0),0)</f>
        <v>0</v>
      </c>
    </row>
    <row r="2344" spans="1:20" ht="22.2" hidden="1" customHeight="1">
      <c r="A2344" s="1444">
        <f>COUNTIF($C$12:C2344,"x")</f>
        <v>64</v>
      </c>
      <c r="B2344" s="1482" t="s">
        <v>2049</v>
      </c>
      <c r="C2344" s="966" t="str">
        <f t="shared" si="398"/>
        <v xml:space="preserve"> </v>
      </c>
      <c r="D2344" s="1434"/>
      <c r="E2344" s="976">
        <f>VLOOKUP($B2344,DG!A:D,DG!$B$2,)</f>
        <v>0</v>
      </c>
      <c r="F2344" s="988" t="str">
        <f>VLOOKUP($B2344,DG!A:D,DG!$C$2,)</f>
        <v>Bass LI bắt FCO</v>
      </c>
      <c r="G2344" s="976" t="str">
        <f>VLOOKUP($B2344,DG!A:D,DG!$D$2,)</f>
        <v>Bộ</v>
      </c>
      <c r="H2344" s="1690">
        <f t="shared" si="406"/>
        <v>0</v>
      </c>
      <c r="I2344" s="1690"/>
      <c r="J2344" s="1690"/>
      <c r="K2344" s="1690">
        <f>IFERROR(HLOOKUP(B2344,pp3p1m!$1:$3,2,0),0)</f>
        <v>0</v>
      </c>
      <c r="L2344" s="1690"/>
      <c r="M2344" s="1690"/>
      <c r="N2344" s="1690"/>
      <c r="O2344" s="1690"/>
      <c r="P2344" s="1689">
        <f t="shared" si="404"/>
        <v>0</v>
      </c>
      <c r="Q2344" s="984"/>
      <c r="R2344" s="984"/>
      <c r="S2344" s="984"/>
      <c r="T2344" s="1858">
        <f t="shared" ref="T2344:T2405" si="407">IFERROR(HLOOKUP(B2344,BangKeTru,3,0),0)</f>
        <v>0</v>
      </c>
    </row>
    <row r="2345" spans="1:20" ht="22.2" hidden="1" customHeight="1">
      <c r="A2345" s="1444">
        <f>COUNTIF($C$12:C2345,"x")</f>
        <v>64</v>
      </c>
      <c r="B2345" s="1482" t="s">
        <v>1865</v>
      </c>
      <c r="C2345" s="966" t="str">
        <f t="shared" si="398"/>
        <v xml:space="preserve"> </v>
      </c>
      <c r="D2345" s="1434">
        <v>16</v>
      </c>
      <c r="E2345" s="976" t="str">
        <f>VLOOKUP($B2345,DG!A:D,DG!$B$2,)</f>
        <v>03.4001</v>
      </c>
      <c r="F2345" s="988" t="str">
        <f>VLOOKUP($B2345,DG!A:D,DG!$C$2,)</f>
        <v xml:space="preserve">Đầu cosse ép Cu 2,5mm2 + bao PVC </v>
      </c>
      <c r="G2345" s="976" t="str">
        <f>VLOOKUP($B2345,DG!A:D,DG!$D$2,)</f>
        <v>cái</v>
      </c>
      <c r="H2345" s="1690">
        <f t="shared" si="406"/>
        <v>0</v>
      </c>
      <c r="I2345" s="1690"/>
      <c r="J2345" s="1690"/>
      <c r="K2345" s="1690">
        <f>IFERROR(HLOOKUP(B2345,pp3p1m!$1:$3,2,0),0)</f>
        <v>0</v>
      </c>
      <c r="L2345" s="1690"/>
      <c r="M2345" s="1690"/>
      <c r="N2345" s="1690"/>
      <c r="O2345" s="1690"/>
      <c r="P2345" s="1689">
        <f t="shared" si="404"/>
        <v>0</v>
      </c>
      <c r="Q2345" s="2667"/>
      <c r="R2345" s="984"/>
      <c r="S2345" s="984"/>
      <c r="T2345" s="1858">
        <f>IFERROR(HLOOKUP(B2345,pp3p1m!$1:$3,3,0),0)</f>
        <v>0</v>
      </c>
    </row>
    <row r="2346" spans="1:20" ht="22.2" hidden="1" customHeight="1">
      <c r="A2346" s="1444">
        <f>COUNTIF($C$12:C2346,"x")</f>
        <v>64</v>
      </c>
      <c r="B2346" s="1482" t="s">
        <v>1510</v>
      </c>
      <c r="C2346" s="966" t="str">
        <f t="shared" si="398"/>
        <v xml:space="preserve"> </v>
      </c>
      <c r="D2346" s="1434">
        <v>6</v>
      </c>
      <c r="E2346" s="976">
        <f>VLOOKUP($B2346,DG!A:D,DG!$B$2,)</f>
        <v>0</v>
      </c>
      <c r="F2346" s="988" t="str">
        <f>VLOOKUP($B2346,DG!A:D,DG!$C$2,)</f>
        <v>Dây điện đôi 16/10</v>
      </c>
      <c r="G2346" s="976" t="str">
        <f>VLOOKUP($B2346,DG!A:D,DG!$D$2,)</f>
        <v>mét</v>
      </c>
      <c r="H2346" s="1690">
        <f t="shared" si="406"/>
        <v>0</v>
      </c>
      <c r="I2346" s="1690"/>
      <c r="J2346" s="1690"/>
      <c r="K2346" s="1690">
        <f>IFERROR(HLOOKUP(B2346,pp3p1m!$1:$3,2,0),0)</f>
        <v>0</v>
      </c>
      <c r="L2346" s="1690"/>
      <c r="M2346" s="1690"/>
      <c r="N2346" s="1690"/>
      <c r="O2346" s="1690"/>
      <c r="P2346" s="1689">
        <f t="shared" si="404"/>
        <v>0</v>
      </c>
      <c r="Q2346" s="2667"/>
      <c r="R2346" s="984"/>
      <c r="S2346" s="984"/>
      <c r="T2346" s="1858">
        <f>IFERROR(HLOOKUP(B2346,pp3p1m!$1:$3,3,0),0)</f>
        <v>0</v>
      </c>
    </row>
    <row r="2347" spans="1:20" ht="22.2" hidden="1" customHeight="1">
      <c r="A2347" s="1444">
        <f>COUNTIF($C$12:C2347,"x")</f>
        <v>64</v>
      </c>
      <c r="B2347" s="1482" t="s">
        <v>816</v>
      </c>
      <c r="C2347" s="966" t="str">
        <f t="shared" si="398"/>
        <v xml:space="preserve"> </v>
      </c>
      <c r="D2347" s="1434">
        <v>3</v>
      </c>
      <c r="E2347" s="976" t="str">
        <f>VLOOKUP($B2347,DG!A:D,DG!$B$2,)</f>
        <v>04.3107</v>
      </c>
      <c r="F2347" s="988" t="str">
        <f>VLOOKUP($B2347,DG!A:D,DG!$C$2,)</f>
        <v>Ốc siết cáp cỡ 25mm2</v>
      </c>
      <c r="G2347" s="976" t="str">
        <f>VLOOKUP($B2347,DG!A:D,DG!$D$2,)</f>
        <v>cái</v>
      </c>
      <c r="H2347" s="1690">
        <f t="shared" si="406"/>
        <v>0</v>
      </c>
      <c r="I2347" s="1690"/>
      <c r="J2347" s="1690"/>
      <c r="K2347" s="1690">
        <f>IFERROR(HLOOKUP(B2347,pp3p1m!$1:$3,2,0),0)</f>
        <v>0</v>
      </c>
      <c r="L2347" s="1690"/>
      <c r="M2347" s="1690"/>
      <c r="N2347" s="1690"/>
      <c r="O2347" s="1690"/>
      <c r="P2347" s="1689">
        <f t="shared" si="404"/>
        <v>0</v>
      </c>
      <c r="Q2347" s="2667"/>
      <c r="R2347" s="984"/>
      <c r="S2347" s="984"/>
      <c r="T2347" s="1858">
        <f>IFERROR(HLOOKUP(B2347,pp3p1m!$1:$3,3,0),0)</f>
        <v>0</v>
      </c>
    </row>
    <row r="2348" spans="1:20" ht="22.2" hidden="1" customHeight="1">
      <c r="A2348" s="1444">
        <f>COUNTIF($C$12:C2348,"x")</f>
        <v>64</v>
      </c>
      <c r="B2348" s="1482" t="s">
        <v>2141</v>
      </c>
      <c r="C2348" s="966" t="str">
        <f t="shared" si="398"/>
        <v xml:space="preserve"> </v>
      </c>
      <c r="D2348" s="1434">
        <v>18</v>
      </c>
      <c r="E2348" s="976" t="str">
        <f>VLOOKUP($B2348,DG!A:D,DG!$B$2,)</f>
        <v>07.2403</v>
      </c>
      <c r="F2348" s="988" t="str">
        <f>VLOOKUP($B2348,DG!A:D,DG!$C$2,)</f>
        <v>Ống PVC D42x2,1mm</v>
      </c>
      <c r="G2348" s="976" t="str">
        <f>VLOOKUP($B2348,DG!A:D,DG!$D$2,)</f>
        <v>m</v>
      </c>
      <c r="H2348" s="1690">
        <f t="shared" si="406"/>
        <v>0</v>
      </c>
      <c r="I2348" s="1690"/>
      <c r="J2348" s="1690"/>
      <c r="K2348" s="1690">
        <f>IFERROR(HLOOKUP(B2348,pp3p1m!$1:$3,2,0),0)</f>
        <v>0</v>
      </c>
      <c r="L2348" s="1690"/>
      <c r="M2348" s="1690"/>
      <c r="N2348" s="1690"/>
      <c r="O2348" s="1690"/>
      <c r="P2348" s="1689">
        <f t="shared" si="404"/>
        <v>0</v>
      </c>
      <c r="Q2348" s="2667"/>
      <c r="R2348" s="984"/>
      <c r="S2348" s="984"/>
      <c r="T2348" s="1858">
        <f>IFERROR(HLOOKUP(B2348,pp3p1m!$1:$3,3,0),0)</f>
        <v>0</v>
      </c>
    </row>
    <row r="2349" spans="1:20" ht="22.2" hidden="1" customHeight="1">
      <c r="A2349" s="1444">
        <f>COUNTIF($C$12:C2349,"x")</f>
        <v>64</v>
      </c>
      <c r="B2349" s="1482" t="s">
        <v>227</v>
      </c>
      <c r="C2349" s="966" t="str">
        <f t="shared" si="398"/>
        <v xml:space="preserve"> </v>
      </c>
      <c r="D2349" s="1434">
        <v>4</v>
      </c>
      <c r="E2349" s="976" t="str">
        <f>VLOOKUP($B2349,DG!A:D,DG!$B$2,)</f>
        <v>06.3231</v>
      </c>
      <c r="F2349" s="988" t="str">
        <f>VLOOKUP($B2349,DG!A:D,DG!$C$2,)</f>
        <v>Côllier 25x2</v>
      </c>
      <c r="G2349" s="976" t="str">
        <f>VLOOKUP($B2349,DG!A:D,DG!$D$2,)</f>
        <v>bộ</v>
      </c>
      <c r="H2349" s="1690">
        <f t="shared" si="406"/>
        <v>0</v>
      </c>
      <c r="I2349" s="1690"/>
      <c r="J2349" s="1690"/>
      <c r="K2349" s="1690">
        <f>IFERROR(HLOOKUP(B2349,pp3p1m!$1:$3,2,0),0)</f>
        <v>0</v>
      </c>
      <c r="L2349" s="1690"/>
      <c r="M2349" s="1690"/>
      <c r="N2349" s="1690"/>
      <c r="O2349" s="1690"/>
      <c r="P2349" s="1689">
        <f t="shared" si="404"/>
        <v>0</v>
      </c>
      <c r="Q2349" s="2667"/>
      <c r="R2349" s="984"/>
      <c r="S2349" s="984"/>
      <c r="T2349" s="1858">
        <f>IFERROR(HLOOKUP(B2349,pp3p1m!$1:$3,3,0),0)</f>
        <v>0</v>
      </c>
    </row>
    <row r="2350" spans="1:20" ht="22.2" hidden="1" customHeight="1">
      <c r="A2350" s="1444">
        <f>COUNTIF($C$12:C2350,"x")</f>
        <v>64</v>
      </c>
      <c r="B2350" s="1482" t="s">
        <v>1616</v>
      </c>
      <c r="C2350" s="966" t="str">
        <f t="shared" si="398"/>
        <v xml:space="preserve"> </v>
      </c>
      <c r="D2350" s="1434">
        <v>8</v>
      </c>
      <c r="E2350" s="976">
        <f>VLOOKUP($B2350,DG!A:D,DG!$B$2,)</f>
        <v>0</v>
      </c>
      <c r="F2350" s="988" t="str">
        <f>VLOOKUP($B2350,DG!A:D,DG!$C$2,)</f>
        <v>Co 90 độ PVC 42</v>
      </c>
      <c r="G2350" s="976" t="str">
        <f>VLOOKUP($B2350,DG!A:D,DG!$D$2,)</f>
        <v>cái</v>
      </c>
      <c r="H2350" s="1690">
        <f t="shared" si="406"/>
        <v>0</v>
      </c>
      <c r="I2350" s="1690"/>
      <c r="J2350" s="1690"/>
      <c r="K2350" s="1690">
        <f>IFERROR(HLOOKUP(B2350,pp3p1m!$1:$3,2,0),0)</f>
        <v>0</v>
      </c>
      <c r="L2350" s="1690"/>
      <c r="M2350" s="1690"/>
      <c r="N2350" s="1690"/>
      <c r="O2350" s="1690"/>
      <c r="P2350" s="1689">
        <f t="shared" si="404"/>
        <v>0</v>
      </c>
      <c r="Q2350" s="2667"/>
      <c r="R2350" s="984"/>
      <c r="S2350" s="984"/>
      <c r="T2350" s="1858">
        <f>IFERROR(HLOOKUP(B2350,pp3p1m!$1:$3,3,0),0)</f>
        <v>0</v>
      </c>
    </row>
    <row r="2351" spans="1:20" ht="22.2" hidden="1" customHeight="1">
      <c r="A2351" s="1444">
        <f>COUNTIF($C$12:C2351,"x")</f>
        <v>64</v>
      </c>
      <c r="B2351" s="1482" t="s">
        <v>1050</v>
      </c>
      <c r="C2351" s="966" t="str">
        <f t="shared" si="398"/>
        <v xml:space="preserve"> </v>
      </c>
      <c r="D2351" s="1434">
        <v>4</v>
      </c>
      <c r="E2351" s="976">
        <f>VLOOKUP($B2351,DG!A:D,DG!$B$2,)</f>
        <v>0</v>
      </c>
      <c r="F2351" s="988" t="str">
        <f>VLOOKUP($B2351,DG!A:D,DG!$C$2,)</f>
        <v>Co chữ T ống PVC 42</v>
      </c>
      <c r="G2351" s="976" t="str">
        <f>VLOOKUP($B2351,DG!A:D,DG!$D$2,)</f>
        <v>cái</v>
      </c>
      <c r="H2351" s="1690">
        <f t="shared" si="406"/>
        <v>0</v>
      </c>
      <c r="I2351" s="1690"/>
      <c r="J2351" s="1690"/>
      <c r="K2351" s="1690">
        <f>IFERROR(HLOOKUP(B2351,pp3p1m!$1:$3,2,0),0)</f>
        <v>0</v>
      </c>
      <c r="L2351" s="1690"/>
      <c r="M2351" s="1690"/>
      <c r="N2351" s="1690"/>
      <c r="O2351" s="1690"/>
      <c r="P2351" s="1689">
        <f t="shared" si="404"/>
        <v>0</v>
      </c>
      <c r="Q2351" s="2667"/>
      <c r="R2351" s="984"/>
      <c r="S2351" s="984"/>
      <c r="T2351" s="1858">
        <f>IFERROR(HLOOKUP(B2351,pp3p1m!$1:$3,3,0),0)</f>
        <v>0</v>
      </c>
    </row>
    <row r="2352" spans="1:20" ht="22.2" hidden="1" customHeight="1">
      <c r="A2352" s="1444">
        <f>COUNTIF($C$12:C2352,"x")</f>
        <v>64</v>
      </c>
      <c r="B2352" s="1482" t="s">
        <v>1913</v>
      </c>
      <c r="C2352" s="966" t="str">
        <f t="shared" si="398"/>
        <v xml:space="preserve"> </v>
      </c>
      <c r="D2352" s="1434">
        <v>2</v>
      </c>
      <c r="E2352" s="976">
        <f>VLOOKUP($B2352,DG!A:D,DG!$B$2,)</f>
        <v>0</v>
      </c>
      <c r="F2352" s="988" t="str">
        <f>VLOOKUP($B2352,DG!A:D,DG!$C$2,)</f>
        <v>Nối thẳng ống PVC 42</v>
      </c>
      <c r="G2352" s="976" t="str">
        <f>VLOOKUP($B2352,DG!A:D,DG!$D$2,)</f>
        <v>cái</v>
      </c>
      <c r="H2352" s="1690">
        <f t="shared" si="406"/>
        <v>0</v>
      </c>
      <c r="I2352" s="1690"/>
      <c r="J2352" s="1690"/>
      <c r="K2352" s="1690">
        <f>IFERROR(HLOOKUP(B2352,pp3p1m!$1:$3,2,0),0)</f>
        <v>0</v>
      </c>
      <c r="L2352" s="1690"/>
      <c r="M2352" s="1690"/>
      <c r="N2352" s="1690"/>
      <c r="O2352" s="1690"/>
      <c r="P2352" s="1689">
        <f t="shared" si="404"/>
        <v>0</v>
      </c>
      <c r="Q2352" s="2667"/>
      <c r="R2352" s="984"/>
      <c r="S2352" s="984"/>
      <c r="T2352" s="1858">
        <f>IFERROR(HLOOKUP(B2352,pp3p1m!$1:$3,3,0),0)</f>
        <v>0</v>
      </c>
    </row>
    <row r="2353" spans="1:20" ht="22.2" hidden="1" customHeight="1">
      <c r="A2353" s="1444">
        <f>COUNTIF($C$12:C2353,"x")</f>
        <v>64</v>
      </c>
      <c r="B2353" s="1374" t="s">
        <v>697</v>
      </c>
      <c r="C2353" s="966" t="str">
        <f t="shared" si="398"/>
        <v xml:space="preserve"> </v>
      </c>
      <c r="D2353" s="1435">
        <v>6</v>
      </c>
      <c r="E2353" s="976">
        <f>VLOOKUP($B2353,DG!A:D,DG!$B$2,)</f>
        <v>0</v>
      </c>
      <c r="F2353" s="988" t="str">
        <f>VLOOKUP($B2353,DG!A:D,DG!$C$2,)</f>
        <v>Cáp 24KV C/XLPE/PVC 25mm2</v>
      </c>
      <c r="G2353" s="976" t="str">
        <f>VLOOKUP($B2353,DG!A:D,DG!$D$2,)</f>
        <v>mét</v>
      </c>
      <c r="H2353" s="1690">
        <f t="shared" si="406"/>
        <v>0</v>
      </c>
      <c r="I2353" s="1690"/>
      <c r="J2353" s="1690"/>
      <c r="K2353" s="1690">
        <f>IFERROR(HLOOKUP(B2353,pp3p1m!$1:$3,2,0),0)</f>
        <v>0</v>
      </c>
      <c r="L2353" s="1690"/>
      <c r="M2353" s="1690"/>
      <c r="N2353" s="1690"/>
      <c r="O2353" s="1690"/>
      <c r="P2353" s="1689">
        <f t="shared" si="404"/>
        <v>0</v>
      </c>
      <c r="Q2353" s="2667"/>
      <c r="R2353" s="984"/>
      <c r="S2353" s="984"/>
      <c r="T2353" s="1858">
        <f>IFERROR(HLOOKUP(B2353,pp3p1m!$1:$3,3,0),0)</f>
        <v>0</v>
      </c>
    </row>
    <row r="2354" spans="1:20" ht="22.2" hidden="1" customHeight="1">
      <c r="A2354" s="1444">
        <f>COUNTIF($C$12:C2354,"x")</f>
        <v>64</v>
      </c>
      <c r="B2354" s="1482" t="s">
        <v>726</v>
      </c>
      <c r="C2354" s="966" t="str">
        <f t="shared" si="398"/>
        <v xml:space="preserve"> </v>
      </c>
      <c r="D2354" s="1434">
        <v>2</v>
      </c>
      <c r="E2354" s="976">
        <f>VLOOKUP($B2354,DG!A:D,DG!$B$2,)</f>
        <v>0</v>
      </c>
      <c r="F2354" s="988" t="str">
        <f>VLOOKUP($B2354,DG!A:D,DG!$C$2,)</f>
        <v>Keo dán ống PVC (500gr)</v>
      </c>
      <c r="G2354" s="976" t="str">
        <f>VLOOKUP($B2354,DG!A:D,DG!$D$2,)</f>
        <v>lon</v>
      </c>
      <c r="H2354" s="1690">
        <f t="shared" si="406"/>
        <v>0</v>
      </c>
      <c r="I2354" s="1690"/>
      <c r="J2354" s="1690"/>
      <c r="K2354" s="1690">
        <f>IFERROR(HLOOKUP(B2354,pp3p1m!$1:$3,2,0),0)</f>
        <v>0</v>
      </c>
      <c r="L2354" s="1690"/>
      <c r="M2354" s="1690"/>
      <c r="N2354" s="1690"/>
      <c r="O2354" s="1690"/>
      <c r="P2354" s="1689">
        <f t="shared" si="404"/>
        <v>0</v>
      </c>
      <c r="Q2354" s="2667"/>
      <c r="R2354" s="984"/>
      <c r="S2354" s="984"/>
      <c r="T2354" s="1858">
        <f>IFERROR(HLOOKUP(B2354,pp3p1m!$1:$3,3,0),0)</f>
        <v>0</v>
      </c>
    </row>
    <row r="2355" spans="1:20" ht="22.2" hidden="1" customHeight="1">
      <c r="A2355" s="1444">
        <f>COUNTIF($C$12:C2355,"x")</f>
        <v>64</v>
      </c>
      <c r="B2355" s="1482" t="s">
        <v>672</v>
      </c>
      <c r="C2355" s="966" t="str">
        <f t="shared" si="398"/>
        <v xml:space="preserve"> </v>
      </c>
      <c r="D2355" s="1434">
        <v>2</v>
      </c>
      <c r="E2355" s="976">
        <f>VLOOKUP($B2355,DG!A:D,DG!$B$2,)</f>
        <v>0</v>
      </c>
      <c r="F2355" s="988" t="str">
        <f>VLOOKUP($B2355,DG!A:D,DG!$C$2,)</f>
        <v>Băng keo cách điện</v>
      </c>
      <c r="G2355" s="976" t="str">
        <f>VLOOKUP($B2355,DG!A:D,DG!$D$2,)</f>
        <v>cuộn</v>
      </c>
      <c r="H2355" s="1690">
        <f t="shared" si="406"/>
        <v>0</v>
      </c>
      <c r="I2355" s="1690"/>
      <c r="J2355" s="1690"/>
      <c r="K2355" s="1690">
        <f>IFERROR(HLOOKUP(B2355,pp3p1m!$1:$3,2,0),0)</f>
        <v>0</v>
      </c>
      <c r="L2355" s="1690"/>
      <c r="M2355" s="1690"/>
      <c r="N2355" s="1690"/>
      <c r="O2355" s="1690"/>
      <c r="P2355" s="1689">
        <f t="shared" si="404"/>
        <v>0</v>
      </c>
      <c r="Q2355" s="2667"/>
      <c r="R2355" s="984"/>
      <c r="S2355" s="984"/>
      <c r="T2355" s="1858">
        <f>IFERROR(HLOOKUP(B2355,pp3p1m!$1:$3,3,0),0)</f>
        <v>0</v>
      </c>
    </row>
    <row r="2356" spans="1:20" ht="22.2" hidden="1" customHeight="1">
      <c r="A2356" s="1444">
        <f>COUNTIF($C$12:C2356,"x")</f>
        <v>64</v>
      </c>
      <c r="B2356" s="1482" t="s">
        <v>2120</v>
      </c>
      <c r="C2356" s="966" t="str">
        <f t="shared" si="398"/>
        <v xml:space="preserve"> </v>
      </c>
      <c r="D2356" s="1434">
        <v>4</v>
      </c>
      <c r="E2356" s="976">
        <f>VLOOKUP($B2356,DG!A:D,DG!$B$2,)</f>
        <v>0</v>
      </c>
      <c r="F2356" s="988" t="str">
        <f>VLOOKUP($B2356,DG!A:D,DG!$C$2,)</f>
        <v>Khâu ven răng trong D42</v>
      </c>
      <c r="G2356" s="976" t="str">
        <f>VLOOKUP($B2356,DG!A:D,DG!$D$2,)</f>
        <v>cái</v>
      </c>
      <c r="H2356" s="1690">
        <f t="shared" si="406"/>
        <v>0</v>
      </c>
      <c r="I2356" s="1690"/>
      <c r="J2356" s="1690"/>
      <c r="K2356" s="1690">
        <f>IFERROR(HLOOKUP(B2356,pp3p1m!$1:$3,2,0),0)</f>
        <v>0</v>
      </c>
      <c r="L2356" s="1690"/>
      <c r="M2356" s="1690"/>
      <c r="N2356" s="1690"/>
      <c r="O2356" s="1690"/>
      <c r="P2356" s="1689">
        <f t="shared" si="404"/>
        <v>0</v>
      </c>
      <c r="Q2356" s="2667"/>
      <c r="R2356" s="984"/>
      <c r="S2356" s="984"/>
      <c r="T2356" s="1858">
        <f>IFERROR(HLOOKUP(B2356,pp3p1m!$1:$3,3,0),0)</f>
        <v>0</v>
      </c>
    </row>
    <row r="2357" spans="1:20" ht="22.2" hidden="1" customHeight="1">
      <c r="A2357" s="1444">
        <f>COUNTIF($C$12:C2357,"x")</f>
        <v>64</v>
      </c>
      <c r="B2357" s="1482" t="s">
        <v>959</v>
      </c>
      <c r="C2357" s="966" t="str">
        <f t="shared" si="398"/>
        <v xml:space="preserve"> </v>
      </c>
      <c r="D2357" s="1434">
        <v>4</v>
      </c>
      <c r="E2357" s="976">
        <f>VLOOKUP($B2357,DG!A:D,DG!$B$2,)</f>
        <v>0</v>
      </c>
      <c r="F2357" s="988" t="str">
        <f>VLOOKUP($B2357,DG!A:D,DG!$C$2,)</f>
        <v>Khâu ven răng ngoài D42</v>
      </c>
      <c r="G2357" s="976" t="str">
        <f>VLOOKUP($B2357,DG!A:D,DG!$D$2,)</f>
        <v>cái</v>
      </c>
      <c r="H2357" s="1690">
        <f t="shared" si="406"/>
        <v>0</v>
      </c>
      <c r="I2357" s="1690"/>
      <c r="J2357" s="1690"/>
      <c r="K2357" s="1690">
        <f>IFERROR(HLOOKUP(B2357,pp3p1m!$1:$3,2,0),0)</f>
        <v>0</v>
      </c>
      <c r="L2357" s="1690"/>
      <c r="M2357" s="1690"/>
      <c r="N2357" s="1690"/>
      <c r="O2357" s="1690"/>
      <c r="P2357" s="1689">
        <f t="shared" si="404"/>
        <v>0</v>
      </c>
      <c r="Q2357" s="2667"/>
      <c r="R2357" s="984"/>
      <c r="S2357" s="984"/>
      <c r="T2357" s="1858">
        <f>IFERROR(HLOOKUP(B2357,pp3p1m!$1:$3,3,0),0)</f>
        <v>0</v>
      </c>
    </row>
    <row r="2358" spans="1:20" ht="22.2" hidden="1" customHeight="1">
      <c r="A2358" s="1444">
        <f>COUNTIF($C$12:C2358,"x")</f>
        <v>64</v>
      </c>
      <c r="B2358" s="1482" t="s">
        <v>455</v>
      </c>
      <c r="C2358" s="966" t="str">
        <f t="shared" si="398"/>
        <v xml:space="preserve"> </v>
      </c>
      <c r="D2358" s="1434">
        <v>2</v>
      </c>
      <c r="E2358" s="976">
        <f>VLOOKUP($B2358,DG!A:D,DG!$B$2,)</f>
        <v>0</v>
      </c>
      <c r="F2358" s="988" t="str">
        <f>VLOOKUP($B2358,DG!A:D,DG!$C$2,)</f>
        <v>Bảng nhựa gắn tủ điện kế điện tử</v>
      </c>
      <c r="G2358" s="976" t="str">
        <f>VLOOKUP($B2358,DG!A:D,DG!$D$2,)</f>
        <v>cái</v>
      </c>
      <c r="H2358" s="1690">
        <f t="shared" si="406"/>
        <v>0</v>
      </c>
      <c r="I2358" s="1690"/>
      <c r="J2358" s="1690"/>
      <c r="K2358" s="1690">
        <f>IFERROR(HLOOKUP(B2358,pp3p1m!$1:$3,2,0),0)</f>
        <v>0</v>
      </c>
      <c r="L2358" s="1690"/>
      <c r="M2358" s="1690"/>
      <c r="N2358" s="1690"/>
      <c r="O2358" s="1690"/>
      <c r="P2358" s="1689">
        <f t="shared" si="404"/>
        <v>0</v>
      </c>
      <c r="Q2358" s="2667"/>
      <c r="R2358" s="984"/>
      <c r="S2358" s="984"/>
      <c r="T2358" s="1858">
        <f>IFERROR(HLOOKUP(B2358,pp3p1m!$1:$3,3,0),0)</f>
        <v>0</v>
      </c>
    </row>
    <row r="2359" spans="1:20" ht="22.2" hidden="1" customHeight="1">
      <c r="A2359" s="1444">
        <f>COUNTIF($C$12:C2359,"x")</f>
        <v>64</v>
      </c>
      <c r="B2359" s="1482" t="s">
        <v>1915</v>
      </c>
      <c r="C2359" s="966" t="str">
        <f t="shared" si="398"/>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6"/>
        <v>0</v>
      </c>
      <c r="I2359" s="1690"/>
      <c r="J2359" s="1690"/>
      <c r="K2359" s="1690">
        <f>IFERROR(HLOOKUP(B2359,pp3p1m!$1:$3,2,0),0)</f>
        <v>0</v>
      </c>
      <c r="L2359" s="1690"/>
      <c r="M2359" s="1690"/>
      <c r="N2359" s="1690"/>
      <c r="O2359" s="1690"/>
      <c r="P2359" s="1689">
        <f t="shared" si="404"/>
        <v>0</v>
      </c>
      <c r="Q2359" s="2667"/>
      <c r="R2359" s="984"/>
      <c r="S2359" s="984"/>
      <c r="T2359" s="1858">
        <f>IFERROR(HLOOKUP(B2359,pp3p1m!$1:$3,3,0),0)</f>
        <v>0</v>
      </c>
    </row>
    <row r="2360" spans="1:20" ht="22.2" hidden="1" customHeight="1">
      <c r="A2360" s="1444">
        <f>COUNTIF($C$12:C2360,"x")</f>
        <v>64</v>
      </c>
      <c r="B2360" s="1482" t="s">
        <v>938</v>
      </c>
      <c r="C2360" s="966" t="str">
        <f t="shared" ref="C2360:C2424" si="408">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6"/>
        <v>0</v>
      </c>
      <c r="I2360" s="1690"/>
      <c r="J2360" s="1690"/>
      <c r="K2360" s="1690">
        <f>IFERROR(HLOOKUP(B2360,pp3p1m!$1:$3,2,0),0)</f>
        <v>0</v>
      </c>
      <c r="L2360" s="1690"/>
      <c r="M2360" s="1690"/>
      <c r="N2360" s="1690"/>
      <c r="O2360" s="1690"/>
      <c r="P2360" s="1689">
        <f t="shared" si="404"/>
        <v>0</v>
      </c>
      <c r="Q2360" s="2667"/>
      <c r="R2360" s="984"/>
      <c r="S2360" s="984"/>
      <c r="T2360" s="1858">
        <f>IFERROR(HLOOKUP(B2360,pp3p1m!$1:$3,3,0),0)</f>
        <v>0</v>
      </c>
    </row>
    <row r="2361" spans="1:20" ht="22.2" hidden="1" customHeight="1">
      <c r="A2361" s="1444">
        <f>COUNTIF($C$12:C2361,"x")</f>
        <v>64</v>
      </c>
      <c r="B2361" s="1482" t="s">
        <v>6</v>
      </c>
      <c r="C2361" s="966" t="str">
        <f t="shared" si="408"/>
        <v xml:space="preserve"> </v>
      </c>
      <c r="D2361" s="1434">
        <v>4</v>
      </c>
      <c r="E2361" s="976">
        <f>VLOOKUP($B2361,DG!A:D,DG!$B$2,)</f>
        <v>0</v>
      </c>
      <c r="F2361" s="988" t="str">
        <f>VLOOKUP($B2361,DG!A:D,DG!$C$2,)</f>
        <v>Keo silicon bít miệng ống</v>
      </c>
      <c r="G2361" s="976" t="str">
        <f>VLOOKUP($B2361,DG!A:D,DG!$D$2,)</f>
        <v>ống</v>
      </c>
      <c r="H2361" s="1690">
        <f t="shared" si="406"/>
        <v>0</v>
      </c>
      <c r="I2361" s="1690"/>
      <c r="J2361" s="1690"/>
      <c r="K2361" s="1690">
        <f>IFERROR(HLOOKUP(B2361,pp3p1m!$1:$3,2,0),0)</f>
        <v>0</v>
      </c>
      <c r="L2361" s="1690"/>
      <c r="M2361" s="1690"/>
      <c r="N2361" s="1690"/>
      <c r="O2361" s="1690"/>
      <c r="P2361" s="1689">
        <f t="shared" si="404"/>
        <v>0</v>
      </c>
      <c r="Q2361" s="2667"/>
      <c r="R2361" s="984"/>
      <c r="S2361" s="984"/>
      <c r="T2361" s="1858">
        <f>IFERROR(HLOOKUP(B2361,pp3p1m!$1:$3,3,0),0)</f>
        <v>0</v>
      </c>
    </row>
    <row r="2362" spans="1:20" ht="22.2" hidden="1" customHeight="1">
      <c r="A2362" s="1444">
        <f>COUNTIF($C$12:C2362,"x")</f>
        <v>64</v>
      </c>
      <c r="B2362" s="1482" t="s">
        <v>2139</v>
      </c>
      <c r="C2362" s="966" t="str">
        <f t="shared" si="408"/>
        <v xml:space="preserve"> </v>
      </c>
      <c r="D2362" s="1434">
        <v>4</v>
      </c>
      <c r="E2362" s="976">
        <f>VLOOKUP($B2362,DG!A:D,DG!$B$2,)</f>
        <v>0</v>
      </c>
      <c r="F2362" s="988" t="str">
        <f>VLOOKUP($B2362,DG!A:D,DG!$C$2,)</f>
        <v>Dây đồng trần mềm dẹt</v>
      </c>
      <c r="G2362" s="976" t="str">
        <f>VLOOKUP($B2362,DG!A:D,DG!$D$2,)</f>
        <v>mét</v>
      </c>
      <c r="H2362" s="1690">
        <f t="shared" si="406"/>
        <v>0</v>
      </c>
      <c r="I2362" s="1690"/>
      <c r="J2362" s="1690"/>
      <c r="K2362" s="1690">
        <f>IFERROR(HLOOKUP(B2362,pp3p1m!$1:$3,2,0),0)</f>
        <v>0</v>
      </c>
      <c r="L2362" s="1690"/>
      <c r="M2362" s="1690"/>
      <c r="N2362" s="1690"/>
      <c r="O2362" s="1690"/>
      <c r="P2362" s="1689">
        <f t="shared" si="404"/>
        <v>0</v>
      </c>
      <c r="Q2362" s="2667"/>
      <c r="R2362" s="984"/>
      <c r="S2362" s="984"/>
      <c r="T2362" s="1858">
        <f>IFERROR(HLOOKUP(B2362,pp3p1m!$1:$3,3,0),0)</f>
        <v>0</v>
      </c>
    </row>
    <row r="2363" spans="1:20" ht="22.2" hidden="1" customHeight="1">
      <c r="A2363" s="1444">
        <f>COUNTIF($C$12:C2363,"x")</f>
        <v>64</v>
      </c>
      <c r="B2363" s="1482" t="s">
        <v>251</v>
      </c>
      <c r="C2363" s="966" t="str">
        <f t="shared" si="408"/>
        <v xml:space="preserve"> </v>
      </c>
      <c r="D2363" s="1434">
        <v>48</v>
      </c>
      <c r="E2363" s="976">
        <f>VLOOKUP($B2363,DG!A:D,DG!$B$2,)</f>
        <v>0</v>
      </c>
      <c r="F2363" s="988" t="str">
        <f>VLOOKUP($B2363,DG!A:D,DG!$C$2,)</f>
        <v>Boulon 12x150+ 2 long đền vuông D14-50x50x3/Zn</v>
      </c>
      <c r="G2363" s="976" t="str">
        <f>VLOOKUP($B2363,DG!A:D,DG!$D$2,)</f>
        <v>bộ</v>
      </c>
      <c r="H2363" s="1690">
        <f t="shared" si="406"/>
        <v>0</v>
      </c>
      <c r="I2363" s="1690"/>
      <c r="J2363" s="1690"/>
      <c r="K2363" s="1690">
        <f>IFERROR(HLOOKUP(B2363,pp3p1m!$1:$3,2,0),0)</f>
        <v>0</v>
      </c>
      <c r="L2363" s="1690"/>
      <c r="M2363" s="1690"/>
      <c r="N2363" s="1690"/>
      <c r="O2363" s="1690"/>
      <c r="P2363" s="1689">
        <f t="shared" si="404"/>
        <v>0</v>
      </c>
      <c r="Q2363" s="2667"/>
      <c r="R2363" s="984"/>
      <c r="S2363" s="984"/>
      <c r="T2363" s="1858">
        <f>IFERROR(HLOOKUP(B2363,pp3p1m!$1:$3,3,0),0)</f>
        <v>0</v>
      </c>
    </row>
    <row r="2364" spans="1:20" ht="22.2" hidden="1" customHeight="1">
      <c r="A2364" s="1444">
        <f>COUNTIF($C$12:C2364,"x")</f>
        <v>64</v>
      </c>
      <c r="B2364" s="1482" t="s">
        <v>1035</v>
      </c>
      <c r="C2364" s="966" t="str">
        <f t="shared" si="408"/>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6"/>
        <v>0</v>
      </c>
      <c r="I2364" s="1690"/>
      <c r="J2364" s="1690"/>
      <c r="K2364" s="1690">
        <f>IFERROR(HLOOKUP(B2364,pp3p1m!$1:$3,2,0),0)</f>
        <v>0</v>
      </c>
      <c r="L2364" s="1690"/>
      <c r="M2364" s="1690"/>
      <c r="N2364" s="1690"/>
      <c r="O2364" s="1690"/>
      <c r="P2364" s="1689">
        <f t="shared" si="404"/>
        <v>0</v>
      </c>
      <c r="Q2364" s="984"/>
      <c r="R2364" s="984"/>
      <c r="S2364" s="984"/>
      <c r="T2364" s="1858">
        <f t="shared" si="407"/>
        <v>0</v>
      </c>
    </row>
    <row r="2365" spans="1:20" ht="22.2" hidden="1" customHeight="1">
      <c r="A2365" s="1444">
        <f>COUNTIF($C$12:C2365,"x")</f>
        <v>64</v>
      </c>
      <c r="B2365" s="1482" t="s">
        <v>1350</v>
      </c>
      <c r="C2365" s="966" t="str">
        <f t="shared" si="408"/>
        <v xml:space="preserve"> </v>
      </c>
      <c r="D2365" s="1434">
        <f>4*D2341*0</f>
        <v>0</v>
      </c>
      <c r="E2365" s="976">
        <f>VLOOKUP($B2365,DG!A:D,DG!$B$2,)</f>
        <v>0</v>
      </c>
      <c r="F2365" s="988" t="str">
        <f>VLOOKUP($B2365,DG!A:D,DG!$C$2,)</f>
        <v>Boulon 12x60+ 2 long đền vuông D14-50x50x3/Zn</v>
      </c>
      <c r="G2365" s="976" t="str">
        <f>VLOOKUP($B2365,DG!A:D,DG!$D$2,)</f>
        <v>bộ</v>
      </c>
      <c r="H2365" s="1690">
        <f t="shared" si="406"/>
        <v>0</v>
      </c>
      <c r="I2365" s="1690"/>
      <c r="J2365" s="1690"/>
      <c r="K2365" s="1690">
        <f>IFERROR(HLOOKUP(B2365,pp3p1m!$1:$3,2,0),0)</f>
        <v>0</v>
      </c>
      <c r="L2365" s="1690"/>
      <c r="M2365" s="1690"/>
      <c r="N2365" s="1690"/>
      <c r="O2365" s="1690"/>
      <c r="P2365" s="1689">
        <f t="shared" si="404"/>
        <v>0</v>
      </c>
      <c r="Q2365" s="984"/>
      <c r="R2365" s="984"/>
      <c r="S2365" s="984"/>
      <c r="T2365" s="1858">
        <f t="shared" si="407"/>
        <v>0</v>
      </c>
    </row>
    <row r="2366" spans="1:20" ht="22.2" hidden="1" customHeight="1">
      <c r="A2366" s="1444">
        <f>COUNTIF($C$12:C2366,"x")</f>
        <v>64</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7"/>
        <v>0</v>
      </c>
    </row>
    <row r="2367" spans="1:20" ht="22.2" hidden="1" customHeight="1">
      <c r="A2367" s="1444">
        <f>COUNTIF($C$12:C2367,"x")</f>
        <v>64</v>
      </c>
      <c r="B2367" s="1445" t="s">
        <v>1652</v>
      </c>
      <c r="C2367" s="966" t="str">
        <f t="shared" si="408"/>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4"/>
        <v>0</v>
      </c>
      <c r="Q2367" s="985"/>
      <c r="R2367" s="985"/>
      <c r="S2367" s="985"/>
      <c r="T2367" s="1858">
        <f t="shared" si="407"/>
        <v>0</v>
      </c>
    </row>
    <row r="2368" spans="1:20" ht="22.2" hidden="1" customHeight="1">
      <c r="A2368" s="1444">
        <f>COUNTIF($C$12:C2368,"x")</f>
        <v>64</v>
      </c>
      <c r="B2368" s="1456" t="s">
        <v>382</v>
      </c>
      <c r="C2368" s="1697" t="str">
        <f t="shared" si="408"/>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4"/>
        <v>0</v>
      </c>
      <c r="Q2368" s="984"/>
      <c r="R2368" s="984"/>
      <c r="S2368" s="984"/>
      <c r="T2368" s="1858">
        <f t="shared" si="407"/>
        <v>0</v>
      </c>
    </row>
    <row r="2369" spans="1:20" ht="22.2" hidden="1" customHeight="1">
      <c r="A2369" s="1444">
        <f>COUNTIF($C$12:C2369,"x")</f>
        <v>64</v>
      </c>
      <c r="B2369" s="1445" t="s">
        <v>368</v>
      </c>
      <c r="C2369" s="966" t="str">
        <f t="shared" si="408"/>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4"/>
        <v>0</v>
      </c>
      <c r="Q2369" s="985"/>
      <c r="R2369" s="985"/>
      <c r="S2369" s="985"/>
      <c r="T2369" s="1858">
        <f t="shared" si="407"/>
        <v>0</v>
      </c>
    </row>
    <row r="2370" spans="1:20" ht="22.2" hidden="1" customHeight="1">
      <c r="A2370" s="1444">
        <f>COUNTIF($C$12:C2370,"x")</f>
        <v>64</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4"/>
        <v>0</v>
      </c>
      <c r="Q2370" s="985"/>
      <c r="R2370" s="985"/>
      <c r="S2370" s="985"/>
      <c r="T2370" s="1858">
        <f t="shared" si="407"/>
        <v>0</v>
      </c>
    </row>
    <row r="2371" spans="1:20" ht="22.2" hidden="1" customHeight="1">
      <c r="A2371" s="1444">
        <f>COUNTIF($C$12:C2371,"x")</f>
        <v>64</v>
      </c>
      <c r="B2371" s="1445" t="s">
        <v>4727</v>
      </c>
      <c r="C2371" s="966" t="str">
        <f t="shared" si="408"/>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4"/>
        <v>0</v>
      </c>
      <c r="Q2371" s="985"/>
      <c r="R2371" s="985"/>
      <c r="S2371" s="985"/>
      <c r="T2371" s="1858">
        <f t="shared" si="407"/>
        <v>0</v>
      </c>
    </row>
    <row r="2372" spans="1:20" ht="22.2" hidden="1" customHeight="1">
      <c r="A2372" s="1444">
        <f>COUNTIF($C$12:C2372,"x")</f>
        <v>64</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7"/>
        <v>0</v>
      </c>
    </row>
    <row r="2373" spans="1:20" ht="22.2" hidden="1" customHeight="1">
      <c r="A2373" s="1444">
        <f>COUNTIF($C$12:C2373,"x")</f>
        <v>64</v>
      </c>
      <c r="B2373" s="1456" t="s">
        <v>943</v>
      </c>
      <c r="C2373" s="966" t="str">
        <f t="shared" si="408"/>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4"/>
        <v>0</v>
      </c>
      <c r="Q2373" s="985"/>
      <c r="R2373" s="985"/>
      <c r="S2373" s="985"/>
      <c r="T2373" s="1858">
        <f t="shared" si="407"/>
        <v>0</v>
      </c>
    </row>
    <row r="2374" spans="1:20" ht="22.2" hidden="1" customHeight="1">
      <c r="A2374" s="1444">
        <f>COUNTIF($C$12:C2374,"x")</f>
        <v>64</v>
      </c>
      <c r="B2374" s="1456" t="s">
        <v>2043</v>
      </c>
      <c r="C2374" s="966" t="str">
        <f t="shared" si="408"/>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4"/>
        <v>0</v>
      </c>
      <c r="Q2374" s="985"/>
      <c r="R2374" s="985"/>
      <c r="S2374" s="985"/>
      <c r="T2374" s="1858">
        <f t="shared" si="407"/>
        <v>0</v>
      </c>
    </row>
    <row r="2375" spans="1:20" ht="22.2" hidden="1" customHeight="1">
      <c r="A2375" s="1444">
        <f>COUNTIF($C$12:C2375,"x")</f>
        <v>64</v>
      </c>
      <c r="B2375" s="1456" t="s">
        <v>793</v>
      </c>
      <c r="C2375" s="966" t="str">
        <f t="shared" si="408"/>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4"/>
        <v>0</v>
      </c>
      <c r="Q2375" s="985"/>
      <c r="R2375" s="985"/>
      <c r="S2375" s="985"/>
      <c r="T2375" s="1858">
        <f t="shared" si="407"/>
        <v>0</v>
      </c>
    </row>
    <row r="2376" spans="1:20" ht="22.2" hidden="1" customHeight="1">
      <c r="A2376" s="1444">
        <f>COUNTIF($C$12:C2376,"x")</f>
        <v>64</v>
      </c>
      <c r="B2376" s="1456" t="s">
        <v>1796</v>
      </c>
      <c r="C2376" s="966" t="str">
        <f t="shared" si="408"/>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4"/>
        <v>0</v>
      </c>
      <c r="Q2376" s="985"/>
      <c r="R2376" s="985"/>
      <c r="S2376" s="985"/>
      <c r="T2376" s="1858">
        <f t="shared" si="407"/>
        <v>0</v>
      </c>
    </row>
    <row r="2377" spans="1:20" ht="22.2" hidden="1" customHeight="1">
      <c r="A2377" s="1444">
        <f>COUNTIF($C$12:C2377,"x")</f>
        <v>64</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7"/>
        <v>0</v>
      </c>
    </row>
    <row r="2378" spans="1:20" ht="22.2" hidden="1" customHeight="1">
      <c r="A2378" s="1444">
        <f>COUNTIF($C$12:C2378,"x")</f>
        <v>64</v>
      </c>
      <c r="B2378" s="1448" t="s">
        <v>1045</v>
      </c>
      <c r="C2378" s="59" t="str">
        <f t="shared" si="408"/>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7"/>
        <v>0</v>
      </c>
    </row>
    <row r="2379" spans="1:20" ht="22.2" hidden="1" customHeight="1">
      <c r="A2379" s="1444">
        <f>COUNTIF($C$12:C2379,"x")</f>
        <v>64</v>
      </c>
      <c r="B2379" s="1457" t="s">
        <v>2008</v>
      </c>
      <c r="C2379" s="60" t="str">
        <f t="shared" si="408"/>
        <v xml:space="preserve"> </v>
      </c>
      <c r="D2379" s="1415">
        <v>3.2</v>
      </c>
      <c r="E2379" s="980"/>
      <c r="F2379" s="988" t="str">
        <f>VLOOKUP($B2379,DG!A:D,DG!$C$2,)</f>
        <v>Sắt Ø10</v>
      </c>
      <c r="G2379" s="976" t="str">
        <f>VLOOKUP($B2379,DG!A:D,DG!$D$2,)</f>
        <v>kg</v>
      </c>
      <c r="H2379" s="1690">
        <f t="shared" ref="H2379:H2391" si="409">IF($H$2377&lt;&gt;0,D2379,)</f>
        <v>0</v>
      </c>
      <c r="I2379" s="1690">
        <f t="shared" ref="I2379:I2388" si="410">$I$2377*D2379</f>
        <v>0</v>
      </c>
      <c r="J2379" s="1690">
        <f t="shared" ref="J2379:J2388" si="411">$J$2377*D2379</f>
        <v>0</v>
      </c>
      <c r="K2379" s="1690">
        <f t="shared" ref="K2379:K2388" si="412">$K$2377*D2379</f>
        <v>0</v>
      </c>
      <c r="L2379" s="1690">
        <f t="shared" ref="L2379:L2414" si="413">$K$2377*H2379</f>
        <v>0</v>
      </c>
      <c r="M2379" s="1690"/>
      <c r="N2379" s="1690"/>
      <c r="O2379" s="1690"/>
      <c r="P2379" s="1689">
        <f t="shared" si="404"/>
        <v>0</v>
      </c>
      <c r="Q2379" s="984"/>
      <c r="R2379" s="984"/>
      <c r="S2379" s="984"/>
      <c r="T2379" s="1858">
        <f t="shared" si="407"/>
        <v>0</v>
      </c>
    </row>
    <row r="2380" spans="1:20" ht="22.2" hidden="1" customHeight="1">
      <c r="A2380" s="1444">
        <f>COUNTIF($C$12:C2380,"x")</f>
        <v>64</v>
      </c>
      <c r="B2380" s="1457" t="s">
        <v>1516</v>
      </c>
      <c r="C2380" s="60" t="str">
        <f t="shared" si="408"/>
        <v xml:space="preserve"> </v>
      </c>
      <c r="D2380" s="1439"/>
      <c r="E2380" s="980"/>
      <c r="F2380" s="1274" t="str">
        <f>VLOOKUP($B2380,DG!A:D,DG!$C$2,)</f>
        <v>Sắt Ø12</v>
      </c>
      <c r="G2380" s="976" t="str">
        <f>VLOOKUP($B2380,DG!A:D,DG!$D$2,)</f>
        <v>kg</v>
      </c>
      <c r="H2380" s="1690">
        <f t="shared" si="409"/>
        <v>0</v>
      </c>
      <c r="I2380" s="1690">
        <f t="shared" si="410"/>
        <v>0</v>
      </c>
      <c r="J2380" s="1690">
        <f t="shared" si="411"/>
        <v>0</v>
      </c>
      <c r="K2380" s="1690">
        <f t="shared" si="412"/>
        <v>0</v>
      </c>
      <c r="L2380" s="1690">
        <f t="shared" si="413"/>
        <v>0</v>
      </c>
      <c r="M2380" s="1690"/>
      <c r="N2380" s="1690"/>
      <c r="O2380" s="1690"/>
      <c r="P2380" s="1689">
        <f t="shared" si="404"/>
        <v>0</v>
      </c>
      <c r="Q2380" s="984"/>
      <c r="R2380" s="984"/>
      <c r="S2380" s="984"/>
      <c r="T2380" s="1858">
        <f t="shared" si="407"/>
        <v>0</v>
      </c>
    </row>
    <row r="2381" spans="1:20" ht="22.2" hidden="1" customHeight="1">
      <c r="A2381" s="1444">
        <f>COUNTIF($C$12:C2381,"x")</f>
        <v>64</v>
      </c>
      <c r="B2381" s="1457" t="s">
        <v>52</v>
      </c>
      <c r="C2381" s="60" t="str">
        <f t="shared" si="408"/>
        <v xml:space="preserve"> </v>
      </c>
      <c r="D2381" s="1439">
        <v>2.92</v>
      </c>
      <c r="E2381" s="980"/>
      <c r="F2381" s="988" t="str">
        <f>VLOOKUP($B2381,DG!A:D,DG!$C$2,)</f>
        <v>Thép tấm 6mm</v>
      </c>
      <c r="G2381" s="976" t="str">
        <f>VLOOKUP($B2381,DG!A:D,DG!$D$2,)</f>
        <v>kg</v>
      </c>
      <c r="H2381" s="1690">
        <f t="shared" si="409"/>
        <v>0</v>
      </c>
      <c r="I2381" s="1690">
        <f t="shared" si="410"/>
        <v>0</v>
      </c>
      <c r="J2381" s="1690">
        <f t="shared" si="411"/>
        <v>0</v>
      </c>
      <c r="K2381" s="1690">
        <f t="shared" si="412"/>
        <v>0</v>
      </c>
      <c r="L2381" s="1690">
        <f t="shared" si="413"/>
        <v>0</v>
      </c>
      <c r="M2381" s="1690"/>
      <c r="N2381" s="1690"/>
      <c r="O2381" s="1690"/>
      <c r="P2381" s="1689">
        <f t="shared" si="404"/>
        <v>0</v>
      </c>
      <c r="Q2381" s="984"/>
      <c r="R2381" s="984"/>
      <c r="S2381" s="984"/>
      <c r="T2381" s="1858">
        <f t="shared" si="407"/>
        <v>0</v>
      </c>
    </row>
    <row r="2382" spans="1:20" ht="22.2" hidden="1" customHeight="1">
      <c r="A2382" s="1444">
        <f>COUNTIF($C$12:C2382,"x")</f>
        <v>64</v>
      </c>
      <c r="B2382" s="1457" t="s">
        <v>701</v>
      </c>
      <c r="C2382" s="60" t="str">
        <f t="shared" si="408"/>
        <v xml:space="preserve"> </v>
      </c>
      <c r="D2382" s="1439">
        <v>4</v>
      </c>
      <c r="E2382" s="980"/>
      <c r="F2382" s="988" t="str">
        <f>VLOOKUP($B2382,DG!A:D,DG!$C$2,)</f>
        <v>Boulon 12x50+ 2 long đền vuông D14-50x50x3/Zn</v>
      </c>
      <c r="G2382" s="976" t="str">
        <f>VLOOKUP($B2382,DG!A:D,DG!$D$2,)</f>
        <v>bộ</v>
      </c>
      <c r="H2382" s="1690">
        <f t="shared" si="409"/>
        <v>0</v>
      </c>
      <c r="I2382" s="1690">
        <f t="shared" si="410"/>
        <v>0</v>
      </c>
      <c r="J2382" s="1690">
        <f t="shared" si="411"/>
        <v>0</v>
      </c>
      <c r="K2382" s="1690">
        <f t="shared" si="412"/>
        <v>0</v>
      </c>
      <c r="L2382" s="1690">
        <f t="shared" si="413"/>
        <v>0</v>
      </c>
      <c r="M2382" s="1690"/>
      <c r="N2382" s="1690"/>
      <c r="O2382" s="1690"/>
      <c r="P2382" s="1689">
        <f t="shared" si="404"/>
        <v>0</v>
      </c>
      <c r="Q2382" s="984"/>
      <c r="R2382" s="984"/>
      <c r="S2382" s="984"/>
      <c r="T2382" s="1858">
        <f t="shared" si="407"/>
        <v>0</v>
      </c>
    </row>
    <row r="2383" spans="1:20" ht="22.2" hidden="1" customHeight="1">
      <c r="A2383" s="1444">
        <f>COUNTIF($C$12:C2383,"x")</f>
        <v>64</v>
      </c>
      <c r="B2383" s="1457" t="s">
        <v>702</v>
      </c>
      <c r="C2383" s="60" t="str">
        <f t="shared" si="408"/>
        <v xml:space="preserve"> </v>
      </c>
      <c r="D2383" s="1439">
        <v>2.5</v>
      </c>
      <c r="E2383" s="980"/>
      <c r="F2383" s="988" t="str">
        <f>VLOOKUP($B2383,DG!A:D,DG!$C$2,)</f>
        <v>Que hàn điện</v>
      </c>
      <c r="G2383" s="976" t="str">
        <f>VLOOKUP($B2383,DG!A:D,DG!$D$2,)</f>
        <v>kg</v>
      </c>
      <c r="H2383" s="1690">
        <f t="shared" si="409"/>
        <v>0</v>
      </c>
      <c r="I2383" s="1690">
        <f t="shared" si="410"/>
        <v>0</v>
      </c>
      <c r="J2383" s="1690">
        <f t="shared" si="411"/>
        <v>0</v>
      </c>
      <c r="K2383" s="1690">
        <f t="shared" si="412"/>
        <v>0</v>
      </c>
      <c r="L2383" s="1690">
        <f t="shared" si="413"/>
        <v>0</v>
      </c>
      <c r="M2383" s="1690"/>
      <c r="N2383" s="1690"/>
      <c r="O2383" s="1690"/>
      <c r="P2383" s="1689">
        <f t="shared" si="404"/>
        <v>0</v>
      </c>
      <c r="Q2383" s="984"/>
      <c r="R2383" s="984"/>
      <c r="S2383" s="984"/>
      <c r="T2383" s="1858">
        <f t="shared" si="407"/>
        <v>0</v>
      </c>
    </row>
    <row r="2384" spans="1:20" ht="22.2" hidden="1" customHeight="1">
      <c r="A2384" s="1444">
        <f>COUNTIF($C$12:C2384,"x")</f>
        <v>64</v>
      </c>
      <c r="B2384" s="1457" t="s">
        <v>703</v>
      </c>
      <c r="C2384" s="60" t="str">
        <f t="shared" si="408"/>
        <v xml:space="preserve"> </v>
      </c>
      <c r="D2384" s="1439">
        <v>1.5</v>
      </c>
      <c r="E2384" s="980"/>
      <c r="F2384" s="988" t="str">
        <f>VLOOKUP($B2384,DG!A:D,DG!$C$2,)</f>
        <v>Sơn chống rỉ</v>
      </c>
      <c r="G2384" s="976" t="str">
        <f>VLOOKUP($B2384,DG!A:D,DG!$D$2,)</f>
        <v>kg</v>
      </c>
      <c r="H2384" s="1690">
        <f t="shared" si="409"/>
        <v>0</v>
      </c>
      <c r="I2384" s="1690">
        <f t="shared" si="410"/>
        <v>0</v>
      </c>
      <c r="J2384" s="1690">
        <f t="shared" si="411"/>
        <v>0</v>
      </c>
      <c r="K2384" s="1690">
        <f t="shared" si="412"/>
        <v>0</v>
      </c>
      <c r="L2384" s="1690">
        <f t="shared" si="413"/>
        <v>0</v>
      </c>
      <c r="M2384" s="1690"/>
      <c r="N2384" s="1690"/>
      <c r="O2384" s="1690"/>
      <c r="P2384" s="1689">
        <f t="shared" si="404"/>
        <v>0</v>
      </c>
      <c r="Q2384" s="984"/>
      <c r="R2384" s="984"/>
      <c r="S2384" s="984"/>
      <c r="T2384" s="1858">
        <f t="shared" si="407"/>
        <v>0</v>
      </c>
    </row>
    <row r="2385" spans="1:20" ht="22.2" hidden="1" customHeight="1">
      <c r="A2385" s="1444">
        <f>COUNTIF($C$12:C2385,"x")</f>
        <v>64</v>
      </c>
      <c r="B2385" s="1457" t="s">
        <v>704</v>
      </c>
      <c r="C2385" s="60" t="str">
        <f t="shared" si="408"/>
        <v xml:space="preserve"> </v>
      </c>
      <c r="D2385" s="1439">
        <v>1</v>
      </c>
      <c r="E2385" s="980"/>
      <c r="F2385" s="988" t="str">
        <f>VLOOKUP($B2385,DG!A:D,DG!$C$2,)</f>
        <v>Sơn màu</v>
      </c>
      <c r="G2385" s="976" t="str">
        <f>VLOOKUP($B2385,DG!A:D,DG!$D$2,)</f>
        <v>kg</v>
      </c>
      <c r="H2385" s="1690">
        <f t="shared" si="409"/>
        <v>0</v>
      </c>
      <c r="I2385" s="1690">
        <f t="shared" si="410"/>
        <v>0</v>
      </c>
      <c r="J2385" s="1690">
        <f t="shared" si="411"/>
        <v>0</v>
      </c>
      <c r="K2385" s="1690">
        <f t="shared" si="412"/>
        <v>0</v>
      </c>
      <c r="L2385" s="1690">
        <f t="shared" si="413"/>
        <v>0</v>
      </c>
      <c r="M2385" s="1690"/>
      <c r="N2385" s="1690"/>
      <c r="O2385" s="1690"/>
      <c r="P2385" s="1689">
        <f t="shared" si="404"/>
        <v>0</v>
      </c>
      <c r="Q2385" s="984"/>
      <c r="R2385" s="984"/>
      <c r="S2385" s="984"/>
      <c r="T2385" s="1858">
        <f t="shared" si="407"/>
        <v>0</v>
      </c>
    </row>
    <row r="2386" spans="1:20" ht="22.2" hidden="1" customHeight="1">
      <c r="A2386" s="1444">
        <f>COUNTIF($C$12:C2386,"x")</f>
        <v>64</v>
      </c>
      <c r="B2386" s="1457" t="s">
        <v>438</v>
      </c>
      <c r="C2386" s="60" t="str">
        <f t="shared" si="408"/>
        <v xml:space="preserve"> </v>
      </c>
      <c r="D2386" s="1439">
        <v>0.9</v>
      </c>
      <c r="E2386" s="980"/>
      <c r="F2386" s="988" t="str">
        <f>VLOOKUP($B2386,DG!A:D,DG!$C$2,)</f>
        <v>Ô xy gió</v>
      </c>
      <c r="G2386" s="976" t="str">
        <f>VLOOKUP($B2386,DG!A:D,DG!$D$2,)</f>
        <v>m3</v>
      </c>
      <c r="H2386" s="1690">
        <f t="shared" si="409"/>
        <v>0</v>
      </c>
      <c r="I2386" s="1690">
        <f t="shared" si="410"/>
        <v>0</v>
      </c>
      <c r="J2386" s="1690">
        <f t="shared" si="411"/>
        <v>0</v>
      </c>
      <c r="K2386" s="1690">
        <f t="shared" si="412"/>
        <v>0</v>
      </c>
      <c r="L2386" s="1690">
        <f t="shared" si="413"/>
        <v>0</v>
      </c>
      <c r="M2386" s="1690"/>
      <c r="N2386" s="1690"/>
      <c r="O2386" s="1690"/>
      <c r="P2386" s="1689">
        <f t="shared" si="404"/>
        <v>0</v>
      </c>
      <c r="Q2386" s="984"/>
      <c r="R2386" s="984"/>
      <c r="S2386" s="984"/>
      <c r="T2386" s="1858">
        <f t="shared" si="407"/>
        <v>0</v>
      </c>
    </row>
    <row r="2387" spans="1:20" ht="22.2" hidden="1" customHeight="1">
      <c r="A2387" s="1444">
        <f>COUNTIF($C$12:C2387,"x")</f>
        <v>64</v>
      </c>
      <c r="B2387" s="1457" t="s">
        <v>1564</v>
      </c>
      <c r="C2387" s="60" t="str">
        <f t="shared" si="408"/>
        <v xml:space="preserve"> </v>
      </c>
      <c r="D2387" s="1439">
        <v>0.3</v>
      </c>
      <c r="E2387" s="980"/>
      <c r="F2387" s="988" t="str">
        <f>VLOOKUP($B2387,DG!A:D,DG!$C$2,)</f>
        <v>Hơi Axetylen</v>
      </c>
      <c r="G2387" s="976" t="str">
        <f>VLOOKUP($B2387,DG!A:D,DG!$D$2,)</f>
        <v>m3</v>
      </c>
      <c r="H2387" s="1690">
        <f t="shared" si="409"/>
        <v>0</v>
      </c>
      <c r="I2387" s="1690">
        <f t="shared" si="410"/>
        <v>0</v>
      </c>
      <c r="J2387" s="1690">
        <f t="shared" si="411"/>
        <v>0</v>
      </c>
      <c r="K2387" s="1690">
        <f t="shared" si="412"/>
        <v>0</v>
      </c>
      <c r="L2387" s="1690">
        <f>$K$2377*H2387</f>
        <v>0</v>
      </c>
      <c r="M2387" s="1690"/>
      <c r="N2387" s="1690"/>
      <c r="O2387" s="1690"/>
      <c r="P2387" s="1689">
        <f t="shared" si="404"/>
        <v>0</v>
      </c>
      <c r="Q2387" s="984"/>
      <c r="R2387" s="984"/>
      <c r="S2387" s="984"/>
      <c r="T2387" s="1858">
        <f t="shared" si="407"/>
        <v>0</v>
      </c>
    </row>
    <row r="2388" spans="1:20" ht="22.2" hidden="1" customHeight="1">
      <c r="A2388" s="1444">
        <f>COUNTIF($C$12:C2388,"x")</f>
        <v>64</v>
      </c>
      <c r="B2388" s="1457" t="s">
        <v>869</v>
      </c>
      <c r="C2388" s="60" t="str">
        <f t="shared" si="408"/>
        <v xml:space="preserve"> </v>
      </c>
      <c r="D2388" s="1439">
        <v>6</v>
      </c>
      <c r="E2388" s="980"/>
      <c r="F2388" s="988" t="str">
        <f>VLOOKUP($B2388,DG!A:D,DG!$C$2,)</f>
        <v>Cọ sơn</v>
      </c>
      <c r="G2388" s="976" t="str">
        <f>VLOOKUP($B2388,DG!A:D,DG!$D$2,)</f>
        <v>cái</v>
      </c>
      <c r="H2388" s="1690">
        <f t="shared" si="409"/>
        <v>0</v>
      </c>
      <c r="I2388" s="1690">
        <f t="shared" si="410"/>
        <v>0</v>
      </c>
      <c r="J2388" s="1690">
        <f t="shared" si="411"/>
        <v>0</v>
      </c>
      <c r="K2388" s="1690">
        <f t="shared" si="412"/>
        <v>0</v>
      </c>
      <c r="L2388" s="1690">
        <f>$K$2377*H2388</f>
        <v>0</v>
      </c>
      <c r="M2388" s="1690"/>
      <c r="N2388" s="1690"/>
      <c r="O2388" s="1690"/>
      <c r="P2388" s="1689">
        <f t="shared" si="404"/>
        <v>0</v>
      </c>
      <c r="Q2388" s="984"/>
      <c r="R2388" s="984"/>
      <c r="S2388" s="984"/>
      <c r="T2388" s="1858">
        <f t="shared" si="407"/>
        <v>0</v>
      </c>
    </row>
    <row r="2389" spans="1:20" ht="22.2" hidden="1" customHeight="1">
      <c r="A2389" s="1444">
        <f>COUNTIF($C$12:C2389,"x")</f>
        <v>64</v>
      </c>
      <c r="B2389" s="1457" t="s">
        <v>870</v>
      </c>
      <c r="C2389" s="60" t="str">
        <f t="shared" si="408"/>
        <v xml:space="preserve"> </v>
      </c>
      <c r="D2389" s="1439">
        <v>0.19</v>
      </c>
      <c r="E2389" s="976" t="str">
        <f>VLOOKUP($B2389,DG!A:D,DG!$B$2,)</f>
        <v>NB.1110</v>
      </c>
      <c r="F2389" s="981" t="str">
        <f>VLOOKUP($B2389,DG!A:D,DG!$C$2,)</f>
        <v>Gia công và lắp dựng cột báo hiệu cao 9m</v>
      </c>
      <c r="G2389" s="976" t="str">
        <f>VLOOKUP($B2389,DG!A:D,DG!$D$2,)</f>
        <v>Tấn</v>
      </c>
      <c r="H2389" s="1690">
        <f t="shared" si="409"/>
        <v>0</v>
      </c>
      <c r="I2389" s="1690"/>
      <c r="J2389" s="1690"/>
      <c r="K2389" s="1690"/>
      <c r="L2389" s="1690"/>
      <c r="M2389" s="1690"/>
      <c r="N2389" s="1690"/>
      <c r="O2389" s="1690"/>
      <c r="P2389" s="1689">
        <f t="shared" si="404"/>
        <v>0</v>
      </c>
      <c r="Q2389" s="984"/>
      <c r="R2389" s="984"/>
      <c r="S2389" s="984"/>
      <c r="T2389" s="1858">
        <f t="shared" si="407"/>
        <v>0</v>
      </c>
    </row>
    <row r="2390" spans="1:20" ht="22.2" hidden="1" customHeight="1">
      <c r="A2390" s="1444">
        <f>COUNTIF($C$12:C2390,"x")</f>
        <v>64</v>
      </c>
      <c r="B2390" s="1457" t="s">
        <v>1640</v>
      </c>
      <c r="C2390" s="60" t="str">
        <f t="shared" si="408"/>
        <v xml:space="preserve"> </v>
      </c>
      <c r="D2390" s="1439">
        <v>3.98</v>
      </c>
      <c r="E2390" s="976" t="str">
        <f>VLOOKUP($B2390,DG!A:D,DG!$B$2,)</f>
        <v>S2.118</v>
      </c>
      <c r="F2390" s="988" t="str">
        <f>VLOOKUP($B2390,DG!A:D,DG!$C$2,)</f>
        <v>Sơn cột báo hiệu</v>
      </c>
      <c r="G2390" s="976" t="str">
        <f>VLOOKUP($B2390,DG!A:D,DG!$D$2,)</f>
        <v>m2</v>
      </c>
      <c r="H2390" s="1690">
        <f t="shared" si="409"/>
        <v>0</v>
      </c>
      <c r="I2390" s="1690">
        <f>$I$2377*D2390</f>
        <v>0</v>
      </c>
      <c r="J2390" s="1690">
        <f>$J$2377*D2390</f>
        <v>0</v>
      </c>
      <c r="K2390" s="1690">
        <f>$K$2377*D2390</f>
        <v>0</v>
      </c>
      <c r="L2390" s="1690">
        <f t="shared" si="413"/>
        <v>0</v>
      </c>
      <c r="M2390" s="1690"/>
      <c r="N2390" s="1690"/>
      <c r="O2390" s="1690"/>
      <c r="P2390" s="1689">
        <f t="shared" si="404"/>
        <v>0</v>
      </c>
      <c r="Q2390" s="984"/>
      <c r="R2390" s="984"/>
      <c r="S2390" s="984"/>
      <c r="T2390" s="1858">
        <f t="shared" si="407"/>
        <v>0</v>
      </c>
    </row>
    <row r="2391" spans="1:20" ht="22.2" hidden="1" customHeight="1">
      <c r="A2391" s="1444">
        <f>COUNTIF($C$12:C2391,"x")</f>
        <v>64</v>
      </c>
      <c r="B2391" s="1457" t="s">
        <v>1641</v>
      </c>
      <c r="C2391" s="60" t="str">
        <f t="shared" si="408"/>
        <v xml:space="preserve"> </v>
      </c>
      <c r="D2391" s="1439">
        <v>0.19</v>
      </c>
      <c r="E2391" s="976" t="str">
        <f>VLOOKUP($B2391,DG!A:D,DG!$B$2,)</f>
        <v>021351</v>
      </c>
      <c r="F2391" s="988" t="str">
        <f>VLOOKUP($B2391,DG!A:D,DG!$C$2,)</f>
        <v>Vận Chuyển thép</v>
      </c>
      <c r="G2391" s="976" t="str">
        <f>VLOOKUP($B2391,DG!A:D,DG!$D$2,)</f>
        <v>Tấn</v>
      </c>
      <c r="H2391" s="1690">
        <f t="shared" si="409"/>
        <v>0</v>
      </c>
      <c r="I2391" s="1690"/>
      <c r="J2391" s="1690"/>
      <c r="K2391" s="1690"/>
      <c r="L2391" s="1690"/>
      <c r="M2391" s="1690"/>
      <c r="N2391" s="1690"/>
      <c r="O2391" s="1690"/>
      <c r="P2391" s="1689">
        <f t="shared" si="404"/>
        <v>0</v>
      </c>
      <c r="Q2391" s="984"/>
      <c r="R2391" s="984"/>
      <c r="S2391" s="984"/>
      <c r="T2391" s="1858">
        <f t="shared" si="407"/>
        <v>0</v>
      </c>
    </row>
    <row r="2392" spans="1:20" ht="22.2" hidden="1" customHeight="1">
      <c r="A2392" s="1444">
        <f>COUNTIF($C$12:C2392,"x")</f>
        <v>64</v>
      </c>
      <c r="B2392" s="1448" t="s">
        <v>1046</v>
      </c>
      <c r="C2392" s="59" t="str">
        <f t="shared" si="408"/>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7"/>
        <v>0</v>
      </c>
    </row>
    <row r="2393" spans="1:20" ht="22.2" hidden="1" customHeight="1">
      <c r="A2393" s="1444">
        <f>COUNTIF($C$12:C2393,"x")</f>
        <v>64</v>
      </c>
      <c r="B2393" s="1457" t="s">
        <v>1515</v>
      </c>
      <c r="C2393" s="60" t="str">
        <f t="shared" si="408"/>
        <v xml:space="preserve"> </v>
      </c>
      <c r="D2393" s="1439">
        <v>26.3</v>
      </c>
      <c r="E2393" s="980"/>
      <c r="F2393" s="988" t="str">
        <f>VLOOKUP($B2393,DG!A:D,DG!$C$2,)</f>
        <v>Sắt góc L45 x45 x 4</v>
      </c>
      <c r="G2393" s="976" t="str">
        <f>VLOOKUP($B2393,DG!A:D,DG!$D$2,)</f>
        <v>kg</v>
      </c>
      <c r="H2393" s="1690">
        <f t="shared" ref="H2393:H2405" si="414">IF($H$2377&lt;&gt;0,D2393,)</f>
        <v>0</v>
      </c>
      <c r="I2393" s="1690">
        <f t="shared" ref="I2393:I2402" si="415">$I$2377*D2393</f>
        <v>0</v>
      </c>
      <c r="J2393" s="1690">
        <f t="shared" ref="J2393:J2402" si="416">$J$2377*D2393</f>
        <v>0</v>
      </c>
      <c r="K2393" s="1690">
        <f t="shared" ref="K2393:K2402" si="417">$K$2377*D2393</f>
        <v>0</v>
      </c>
      <c r="L2393" s="1690">
        <f t="shared" si="413"/>
        <v>0</v>
      </c>
      <c r="M2393" s="1690"/>
      <c r="N2393" s="1690"/>
      <c r="O2393" s="1690"/>
      <c r="P2393" s="1689">
        <f t="shared" si="404"/>
        <v>0</v>
      </c>
      <c r="Q2393" s="984"/>
      <c r="R2393" s="984"/>
      <c r="S2393" s="984"/>
      <c r="T2393" s="1858">
        <f t="shared" si="407"/>
        <v>0</v>
      </c>
    </row>
    <row r="2394" spans="1:20" ht="22.2" hidden="1" customHeight="1">
      <c r="A2394" s="1444">
        <f>COUNTIF($C$12:C2394,"x")</f>
        <v>64</v>
      </c>
      <c r="B2394" s="1457" t="s">
        <v>842</v>
      </c>
      <c r="C2394" s="60" t="str">
        <f t="shared" si="408"/>
        <v xml:space="preserve"> </v>
      </c>
      <c r="D2394" s="1439">
        <v>3.14</v>
      </c>
      <c r="E2394" s="980"/>
      <c r="F2394" s="988" t="str">
        <f>VLOOKUP($B2394,DG!A:D,DG!$C$2,)</f>
        <v>Thép tấm 4mm</v>
      </c>
      <c r="G2394" s="976" t="str">
        <f>VLOOKUP($B2394,DG!A:D,DG!$D$2,)</f>
        <v>kg</v>
      </c>
      <c r="H2394" s="1690">
        <f t="shared" si="414"/>
        <v>0</v>
      </c>
      <c r="I2394" s="1690">
        <f t="shared" si="415"/>
        <v>0</v>
      </c>
      <c r="J2394" s="1690">
        <f t="shared" si="416"/>
        <v>0</v>
      </c>
      <c r="K2394" s="1690">
        <f t="shared" si="417"/>
        <v>0</v>
      </c>
      <c r="L2394" s="1690">
        <f t="shared" si="413"/>
        <v>0</v>
      </c>
      <c r="M2394" s="1690"/>
      <c r="N2394" s="1690"/>
      <c r="O2394" s="1690"/>
      <c r="P2394" s="1689">
        <f t="shared" si="404"/>
        <v>0</v>
      </c>
      <c r="Q2394" s="984"/>
      <c r="R2394" s="984"/>
      <c r="S2394" s="984"/>
      <c r="T2394" s="1858">
        <f t="shared" si="407"/>
        <v>0</v>
      </c>
    </row>
    <row r="2395" spans="1:20" ht="22.2" hidden="1" customHeight="1">
      <c r="A2395" s="1444">
        <f>COUNTIF($C$12:C2395,"x")</f>
        <v>64</v>
      </c>
      <c r="B2395" s="1457" t="s">
        <v>310</v>
      </c>
      <c r="C2395" s="60" t="str">
        <f t="shared" si="408"/>
        <v xml:space="preserve"> </v>
      </c>
      <c r="D2395" s="1439">
        <v>45.22</v>
      </c>
      <c r="E2395" s="980"/>
      <c r="F2395" s="988" t="str">
        <f>VLOOKUP($B2395,DG!A:D,DG!$C$2,)</f>
        <v>Thép tấm 2mm</v>
      </c>
      <c r="G2395" s="976" t="str">
        <f>VLOOKUP($B2395,DG!A:D,DG!$D$2,)</f>
        <v>kg</v>
      </c>
      <c r="H2395" s="1690">
        <f t="shared" si="414"/>
        <v>0</v>
      </c>
      <c r="I2395" s="1690">
        <f t="shared" si="415"/>
        <v>0</v>
      </c>
      <c r="J2395" s="1690">
        <f t="shared" si="416"/>
        <v>0</v>
      </c>
      <c r="K2395" s="1690">
        <f t="shared" si="417"/>
        <v>0</v>
      </c>
      <c r="L2395" s="1690">
        <f t="shared" si="413"/>
        <v>0</v>
      </c>
      <c r="M2395" s="1690"/>
      <c r="N2395" s="1690"/>
      <c r="O2395" s="1690"/>
      <c r="P2395" s="1689">
        <f t="shared" si="404"/>
        <v>0</v>
      </c>
      <c r="Q2395" s="984"/>
      <c r="R2395" s="984"/>
      <c r="S2395" s="984"/>
      <c r="T2395" s="1858">
        <f t="shared" si="407"/>
        <v>0</v>
      </c>
    </row>
    <row r="2396" spans="1:20" ht="22.2" hidden="1" customHeight="1">
      <c r="A2396" s="1444">
        <f>COUNTIF($C$12:C2396,"x")</f>
        <v>64</v>
      </c>
      <c r="B2396" s="1457" t="s">
        <v>701</v>
      </c>
      <c r="C2396" s="60" t="str">
        <f t="shared" si="408"/>
        <v xml:space="preserve"> </v>
      </c>
      <c r="D2396" s="1439">
        <v>2</v>
      </c>
      <c r="E2396" s="980"/>
      <c r="F2396" s="988" t="str">
        <f>VLOOKUP($B2396,DG!A:D,DG!$C$2,)</f>
        <v>Boulon 12x50+ 2 long đền vuông D14-50x50x3/Zn</v>
      </c>
      <c r="G2396" s="976" t="str">
        <f>VLOOKUP($B2396,DG!A:D,DG!$D$2,)</f>
        <v>bộ</v>
      </c>
      <c r="H2396" s="1690">
        <f t="shared" si="414"/>
        <v>0</v>
      </c>
      <c r="I2396" s="1690">
        <f t="shared" si="415"/>
        <v>0</v>
      </c>
      <c r="J2396" s="1690">
        <f t="shared" si="416"/>
        <v>0</v>
      </c>
      <c r="K2396" s="1690">
        <f t="shared" si="417"/>
        <v>0</v>
      </c>
      <c r="L2396" s="1690">
        <f>$K$2377*H2396</f>
        <v>0</v>
      </c>
      <c r="M2396" s="1690"/>
      <c r="N2396" s="1690"/>
      <c r="O2396" s="1690"/>
      <c r="P2396" s="1689">
        <f t="shared" si="404"/>
        <v>0</v>
      </c>
      <c r="Q2396" s="984"/>
      <c r="R2396" s="984"/>
      <c r="S2396" s="984"/>
      <c r="T2396" s="1858">
        <f t="shared" si="407"/>
        <v>0</v>
      </c>
    </row>
    <row r="2397" spans="1:20" ht="22.2" hidden="1" customHeight="1">
      <c r="A2397" s="1444">
        <f>COUNTIF($C$12:C2397,"x")</f>
        <v>64</v>
      </c>
      <c r="B2397" s="1457" t="s">
        <v>702</v>
      </c>
      <c r="C2397" s="60" t="str">
        <f t="shared" si="408"/>
        <v xml:space="preserve"> </v>
      </c>
      <c r="D2397" s="1439">
        <v>3</v>
      </c>
      <c r="E2397" s="980"/>
      <c r="F2397" s="988" t="str">
        <f>VLOOKUP($B2397,DG!A:D,DG!$C$2,)</f>
        <v>Que hàn điện</v>
      </c>
      <c r="G2397" s="976" t="str">
        <f>VLOOKUP($B2397,DG!A:D,DG!$D$2,)</f>
        <v>kg</v>
      </c>
      <c r="H2397" s="1690">
        <f t="shared" si="414"/>
        <v>0</v>
      </c>
      <c r="I2397" s="1690">
        <f t="shared" si="415"/>
        <v>0</v>
      </c>
      <c r="J2397" s="1690">
        <f t="shared" si="416"/>
        <v>0</v>
      </c>
      <c r="K2397" s="1690">
        <f t="shared" si="417"/>
        <v>0</v>
      </c>
      <c r="L2397" s="1690">
        <f t="shared" si="413"/>
        <v>0</v>
      </c>
      <c r="M2397" s="1690"/>
      <c r="N2397" s="1690"/>
      <c r="O2397" s="1690"/>
      <c r="P2397" s="1689">
        <f t="shared" si="404"/>
        <v>0</v>
      </c>
      <c r="Q2397" s="984"/>
      <c r="R2397" s="984"/>
      <c r="S2397" s="984"/>
      <c r="T2397" s="1858">
        <f t="shared" si="407"/>
        <v>0</v>
      </c>
    </row>
    <row r="2398" spans="1:20" ht="22.2" hidden="1" customHeight="1">
      <c r="A2398" s="1444">
        <f>COUNTIF($C$12:C2398,"x")</f>
        <v>64</v>
      </c>
      <c r="B2398" s="1457" t="s">
        <v>703</v>
      </c>
      <c r="C2398" s="60" t="str">
        <f t="shared" si="408"/>
        <v xml:space="preserve"> </v>
      </c>
      <c r="D2398" s="1439">
        <v>1.8</v>
      </c>
      <c r="E2398" s="980"/>
      <c r="F2398" s="988" t="str">
        <f>VLOOKUP($B2398,DG!A:D,DG!$C$2,)</f>
        <v>Sơn chống rỉ</v>
      </c>
      <c r="G2398" s="976" t="str">
        <f>VLOOKUP($B2398,DG!A:D,DG!$D$2,)</f>
        <v>kg</v>
      </c>
      <c r="H2398" s="1690">
        <f t="shared" si="414"/>
        <v>0</v>
      </c>
      <c r="I2398" s="1690">
        <f t="shared" si="415"/>
        <v>0</v>
      </c>
      <c r="J2398" s="1690">
        <f t="shared" si="416"/>
        <v>0</v>
      </c>
      <c r="K2398" s="1690">
        <f t="shared" si="417"/>
        <v>0</v>
      </c>
      <c r="L2398" s="1690">
        <f t="shared" si="413"/>
        <v>0</v>
      </c>
      <c r="M2398" s="1690"/>
      <c r="N2398" s="1690"/>
      <c r="O2398" s="1690"/>
      <c r="P2398" s="1689">
        <f t="shared" si="404"/>
        <v>0</v>
      </c>
      <c r="Q2398" s="984"/>
      <c r="R2398" s="984"/>
      <c r="S2398" s="984"/>
      <c r="T2398" s="1858">
        <f t="shared" si="407"/>
        <v>0</v>
      </c>
    </row>
    <row r="2399" spans="1:20" ht="22.2" hidden="1" customHeight="1">
      <c r="A2399" s="1444">
        <f>COUNTIF($C$12:C2399,"x")</f>
        <v>64</v>
      </c>
      <c r="B2399" s="1457" t="s">
        <v>704</v>
      </c>
      <c r="C2399" s="60" t="str">
        <f t="shared" si="408"/>
        <v xml:space="preserve"> </v>
      </c>
      <c r="D2399" s="1439">
        <v>1</v>
      </c>
      <c r="E2399" s="980"/>
      <c r="F2399" s="988" t="str">
        <f>VLOOKUP($B2399,DG!A:D,DG!$C$2,)</f>
        <v>Sơn màu</v>
      </c>
      <c r="G2399" s="976" t="str">
        <f>VLOOKUP($B2399,DG!A:D,DG!$D$2,)</f>
        <v>kg</v>
      </c>
      <c r="H2399" s="1690">
        <f t="shared" si="414"/>
        <v>0</v>
      </c>
      <c r="I2399" s="1690">
        <f t="shared" si="415"/>
        <v>0</v>
      </c>
      <c r="J2399" s="1690">
        <f t="shared" si="416"/>
        <v>0</v>
      </c>
      <c r="K2399" s="1690">
        <f t="shared" si="417"/>
        <v>0</v>
      </c>
      <c r="L2399" s="1690">
        <f t="shared" si="413"/>
        <v>0</v>
      </c>
      <c r="M2399" s="1690"/>
      <c r="N2399" s="1690"/>
      <c r="O2399" s="1690"/>
      <c r="P2399" s="1689">
        <f t="shared" ref="P2399:P2424" si="418">H2399+Q2399-R2399</f>
        <v>0</v>
      </c>
      <c r="Q2399" s="984"/>
      <c r="R2399" s="984"/>
      <c r="S2399" s="984"/>
      <c r="T2399" s="1858">
        <f t="shared" si="407"/>
        <v>0</v>
      </c>
    </row>
    <row r="2400" spans="1:20" ht="22.2" hidden="1" customHeight="1">
      <c r="A2400" s="1444">
        <f>COUNTIF($C$12:C2400,"x")</f>
        <v>64</v>
      </c>
      <c r="B2400" s="1457" t="s">
        <v>438</v>
      </c>
      <c r="C2400" s="60" t="str">
        <f t="shared" si="408"/>
        <v xml:space="preserve"> </v>
      </c>
      <c r="D2400" s="1439">
        <v>1.8</v>
      </c>
      <c r="E2400" s="980"/>
      <c r="F2400" s="988" t="str">
        <f>VLOOKUP($B2400,DG!A:D,DG!$C$2,)</f>
        <v>Ô xy gió</v>
      </c>
      <c r="G2400" s="976" t="str">
        <f>VLOOKUP($B2400,DG!A:D,DG!$D$2,)</f>
        <v>m3</v>
      </c>
      <c r="H2400" s="1690">
        <f t="shared" si="414"/>
        <v>0</v>
      </c>
      <c r="I2400" s="1690">
        <f t="shared" si="415"/>
        <v>0</v>
      </c>
      <c r="J2400" s="1690">
        <f t="shared" si="416"/>
        <v>0</v>
      </c>
      <c r="K2400" s="1690">
        <f t="shared" si="417"/>
        <v>0</v>
      </c>
      <c r="L2400" s="1690">
        <f t="shared" si="413"/>
        <v>0</v>
      </c>
      <c r="M2400" s="1690"/>
      <c r="N2400" s="1690"/>
      <c r="O2400" s="1690"/>
      <c r="P2400" s="1689">
        <f t="shared" si="418"/>
        <v>0</v>
      </c>
      <c r="Q2400" s="984"/>
      <c r="R2400" s="984"/>
      <c r="S2400" s="984"/>
      <c r="T2400" s="1858">
        <f t="shared" si="407"/>
        <v>0</v>
      </c>
    </row>
    <row r="2401" spans="1:20" ht="22.2" hidden="1" customHeight="1">
      <c r="A2401" s="1444">
        <f>COUNTIF($C$12:C2401,"x")</f>
        <v>64</v>
      </c>
      <c r="B2401" s="1457" t="s">
        <v>1564</v>
      </c>
      <c r="C2401" s="60" t="str">
        <f t="shared" si="408"/>
        <v xml:space="preserve"> </v>
      </c>
      <c r="D2401" s="1439">
        <v>0.6</v>
      </c>
      <c r="E2401" s="980"/>
      <c r="F2401" s="988" t="str">
        <f>VLOOKUP($B2401,DG!A:D,DG!$C$2,)</f>
        <v>Hơi Axetylen</v>
      </c>
      <c r="G2401" s="976" t="str">
        <f>VLOOKUP($B2401,DG!A:D,DG!$D$2,)</f>
        <v>m3</v>
      </c>
      <c r="H2401" s="1690">
        <f t="shared" si="414"/>
        <v>0</v>
      </c>
      <c r="I2401" s="1690">
        <f t="shared" si="415"/>
        <v>0</v>
      </c>
      <c r="J2401" s="1690">
        <f t="shared" si="416"/>
        <v>0</v>
      </c>
      <c r="K2401" s="1690">
        <f t="shared" si="417"/>
        <v>0</v>
      </c>
      <c r="L2401" s="1690">
        <f t="shared" si="413"/>
        <v>0</v>
      </c>
      <c r="M2401" s="1690"/>
      <c r="N2401" s="1690"/>
      <c r="O2401" s="1690"/>
      <c r="P2401" s="1689">
        <f t="shared" si="418"/>
        <v>0</v>
      </c>
      <c r="Q2401" s="984"/>
      <c r="R2401" s="984"/>
      <c r="S2401" s="984"/>
      <c r="T2401" s="1858">
        <f t="shared" si="407"/>
        <v>0</v>
      </c>
    </row>
    <row r="2402" spans="1:20" ht="22.2" hidden="1" customHeight="1">
      <c r="A2402" s="1444">
        <f>COUNTIF($C$12:C2402,"x")</f>
        <v>64</v>
      </c>
      <c r="B2402" s="1457" t="s">
        <v>869</v>
      </c>
      <c r="C2402" s="60" t="str">
        <f t="shared" si="408"/>
        <v xml:space="preserve"> </v>
      </c>
      <c r="D2402" s="1439">
        <v>4</v>
      </c>
      <c r="E2402" s="980"/>
      <c r="F2402" s="988" t="str">
        <f>VLOOKUP($B2402,DG!A:D,DG!$C$2,)</f>
        <v>Cọ sơn</v>
      </c>
      <c r="G2402" s="976" t="str">
        <f>VLOOKUP($B2402,DG!A:D,DG!$D$2,)</f>
        <v>cái</v>
      </c>
      <c r="H2402" s="1690">
        <f t="shared" si="414"/>
        <v>0</v>
      </c>
      <c r="I2402" s="1690">
        <f t="shared" si="415"/>
        <v>0</v>
      </c>
      <c r="J2402" s="1690">
        <f t="shared" si="416"/>
        <v>0</v>
      </c>
      <c r="K2402" s="1690">
        <f t="shared" si="417"/>
        <v>0</v>
      </c>
      <c r="L2402" s="1690">
        <f t="shared" si="413"/>
        <v>0</v>
      </c>
      <c r="M2402" s="1690"/>
      <c r="N2402" s="1690"/>
      <c r="O2402" s="1690"/>
      <c r="P2402" s="1689">
        <f t="shared" si="418"/>
        <v>0</v>
      </c>
      <c r="Q2402" s="984"/>
      <c r="R2402" s="984"/>
      <c r="S2402" s="984"/>
      <c r="T2402" s="1858">
        <f t="shared" si="407"/>
        <v>0</v>
      </c>
    </row>
    <row r="2403" spans="1:20" ht="22.2" hidden="1" customHeight="1">
      <c r="A2403" s="1444">
        <f>COUNTIF($C$12:C2403,"x")</f>
        <v>64</v>
      </c>
      <c r="B2403" s="1457" t="s">
        <v>1639</v>
      </c>
      <c r="C2403" s="60" t="str">
        <f t="shared" si="408"/>
        <v xml:space="preserve"> </v>
      </c>
      <c r="D2403" s="1439">
        <v>0.08</v>
      </c>
      <c r="E2403" s="976" t="str">
        <f>VLOOKUP($B2403,DG!A:D,DG!$B$2,)</f>
        <v>NB.1710</v>
      </c>
      <c r="F2403" s="981" t="str">
        <f>VLOOKUP($B2403,DG!A:D,DG!$C$2,)</f>
        <v>Gia công và lắp dựng bảng báo hiệu</v>
      </c>
      <c r="G2403" s="976" t="str">
        <f>VLOOKUP($B2403,DG!A:D,DG!$D$2,)</f>
        <v>Tấn</v>
      </c>
      <c r="H2403" s="1690">
        <f t="shared" si="414"/>
        <v>0</v>
      </c>
      <c r="I2403" s="1690"/>
      <c r="J2403" s="1690"/>
      <c r="K2403" s="1690"/>
      <c r="L2403" s="1690"/>
      <c r="M2403" s="1690"/>
      <c r="N2403" s="1690"/>
      <c r="O2403" s="1690"/>
      <c r="P2403" s="1689">
        <f t="shared" si="418"/>
        <v>0</v>
      </c>
      <c r="Q2403" s="984"/>
      <c r="R2403" s="984"/>
      <c r="S2403" s="984"/>
      <c r="T2403" s="1858">
        <f t="shared" si="407"/>
        <v>0</v>
      </c>
    </row>
    <row r="2404" spans="1:20" ht="22.2" hidden="1" customHeight="1">
      <c r="A2404" s="1444">
        <f>COUNTIF($C$12:C2404,"x")</f>
        <v>64</v>
      </c>
      <c r="B2404" s="1457" t="s">
        <v>311</v>
      </c>
      <c r="C2404" s="60" t="str">
        <f t="shared" si="408"/>
        <v xml:space="preserve"> </v>
      </c>
      <c r="D2404" s="1439">
        <v>5.76</v>
      </c>
      <c r="E2404" s="976" t="str">
        <f>VLOOKUP($B2404,DG!A:D,DG!$B$2,)</f>
        <v>S2.118</v>
      </c>
      <c r="F2404" s="988" t="str">
        <f>VLOOKUP($B2404,DG!A:D,DG!$C$2,)</f>
        <v>Sơn biển báo hiệu</v>
      </c>
      <c r="G2404" s="976" t="str">
        <f>VLOOKUP($B2404,DG!A:D,DG!$D$2,)</f>
        <v>m2</v>
      </c>
      <c r="H2404" s="1690">
        <f t="shared" si="414"/>
        <v>0</v>
      </c>
      <c r="I2404" s="1690">
        <f>$I$2377*D2404</f>
        <v>0</v>
      </c>
      <c r="J2404" s="1690">
        <f>$J$2377*D2404</f>
        <v>0</v>
      </c>
      <c r="K2404" s="1690">
        <f>$K$2377*D2404</f>
        <v>0</v>
      </c>
      <c r="L2404" s="1690">
        <f t="shared" si="413"/>
        <v>0</v>
      </c>
      <c r="M2404" s="1690"/>
      <c r="N2404" s="1690"/>
      <c r="O2404" s="1690"/>
      <c r="P2404" s="1689">
        <f t="shared" si="418"/>
        <v>0</v>
      </c>
      <c r="Q2404" s="984"/>
      <c r="R2404" s="984"/>
      <c r="S2404" s="984"/>
      <c r="T2404" s="1858">
        <f t="shared" si="407"/>
        <v>0</v>
      </c>
    </row>
    <row r="2405" spans="1:20" ht="22.2" hidden="1" customHeight="1">
      <c r="A2405" s="1444">
        <f>COUNTIF($C$12:C2405,"x")</f>
        <v>64</v>
      </c>
      <c r="B2405" s="1457" t="s">
        <v>1641</v>
      </c>
      <c r="C2405" s="60" t="str">
        <f t="shared" si="408"/>
        <v xml:space="preserve"> </v>
      </c>
      <c r="D2405" s="1439">
        <v>0.08</v>
      </c>
      <c r="E2405" s="976" t="str">
        <f>VLOOKUP($B2405,DG!A:D,DG!$B$2,)</f>
        <v>021351</v>
      </c>
      <c r="F2405" s="988" t="str">
        <f>VLOOKUP($B2405,DG!A:D,DG!$C$2,)</f>
        <v>Vận Chuyển thép</v>
      </c>
      <c r="G2405" s="976" t="str">
        <f>VLOOKUP($B2405,DG!A:D,DG!$D$2,)</f>
        <v>Tấn</v>
      </c>
      <c r="H2405" s="1690">
        <f t="shared" si="414"/>
        <v>0</v>
      </c>
      <c r="I2405" s="1690"/>
      <c r="J2405" s="1690"/>
      <c r="K2405" s="1690"/>
      <c r="L2405" s="1690"/>
      <c r="M2405" s="1690"/>
      <c r="N2405" s="1690"/>
      <c r="O2405" s="1690"/>
      <c r="P2405" s="1689">
        <f t="shared" si="418"/>
        <v>0</v>
      </c>
      <c r="Q2405" s="984"/>
      <c r="R2405" s="984"/>
      <c r="S2405" s="984"/>
      <c r="T2405" s="1858">
        <f t="shared" si="407"/>
        <v>0</v>
      </c>
    </row>
    <row r="2406" spans="1:20" ht="22.2" hidden="1" customHeight="1">
      <c r="A2406" s="1444">
        <f>COUNTIF($C$12:C2406,"x")</f>
        <v>64</v>
      </c>
      <c r="B2406" s="1448" t="s">
        <v>1047</v>
      </c>
      <c r="C2406" s="59" t="str">
        <f t="shared" si="408"/>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9">IFERROR(HLOOKUP(B2406,BangKeTru,3,0),0)</f>
        <v>0</v>
      </c>
    </row>
    <row r="2407" spans="1:20" ht="22.2" hidden="1" customHeight="1">
      <c r="A2407" s="1444">
        <f>COUNTIF($C$12:C2407,"x")</f>
        <v>64</v>
      </c>
      <c r="B2407" s="1457" t="s">
        <v>751</v>
      </c>
      <c r="C2407" s="60" t="str">
        <f t="shared" si="408"/>
        <v xml:space="preserve"> </v>
      </c>
      <c r="D2407" s="1439">
        <v>398</v>
      </c>
      <c r="E2407" s="980"/>
      <c r="F2407" s="981" t="str">
        <f>VLOOKUP($B2407,DG!A:D,DG!$C$2,)</f>
        <v>Ximăng (PC40)</v>
      </c>
      <c r="G2407" s="976" t="str">
        <f>VLOOKUP($B2407,DG!A:D,DG!$D$2,)</f>
        <v>kg</v>
      </c>
      <c r="H2407" s="1690">
        <f t="shared" ref="H2407:H2417" si="420">IF($H$2377&lt;&gt;0,D2407,)</f>
        <v>0</v>
      </c>
      <c r="I2407" s="1690">
        <f t="shared" ref="I2407:I2414" si="421">$I$2377*D2407</f>
        <v>0</v>
      </c>
      <c r="J2407" s="1690">
        <f t="shared" ref="J2407:J2414" si="422">$J$2377*D2407</f>
        <v>0</v>
      </c>
      <c r="K2407" s="1690">
        <f t="shared" ref="K2407:K2414" si="423">$K$2377*D2407</f>
        <v>0</v>
      </c>
      <c r="L2407" s="1690">
        <f t="shared" si="413"/>
        <v>0</v>
      </c>
      <c r="M2407" s="1690"/>
      <c r="N2407" s="1690"/>
      <c r="O2407" s="1690"/>
      <c r="P2407" s="1689">
        <f t="shared" si="418"/>
        <v>0</v>
      </c>
      <c r="Q2407" s="984"/>
      <c r="R2407" s="984"/>
      <c r="S2407" s="984"/>
      <c r="T2407" s="1858">
        <f t="shared" si="419"/>
        <v>0</v>
      </c>
    </row>
    <row r="2408" spans="1:20" ht="22.2" hidden="1" customHeight="1">
      <c r="A2408" s="1444">
        <f>COUNTIF($C$12:C2408,"x")</f>
        <v>64</v>
      </c>
      <c r="B2408" s="1450" t="s">
        <v>4412</v>
      </c>
      <c r="C2408" s="60" t="str">
        <f t="shared" si="408"/>
        <v xml:space="preserve"> </v>
      </c>
      <c r="D2408" s="1439">
        <v>0.81</v>
      </c>
      <c r="E2408" s="980"/>
      <c r="F2408" s="981" t="str">
        <f>VLOOKUP($B2408,DG!A:D,DG!$C$2,)</f>
        <v>Cát vàng</v>
      </c>
      <c r="G2408" s="976" t="str">
        <f>VLOOKUP($B2408,DG!A:D,DG!$D$2,)</f>
        <v>m3</v>
      </c>
      <c r="H2408" s="1690">
        <f t="shared" si="420"/>
        <v>0</v>
      </c>
      <c r="I2408" s="1690">
        <f t="shared" si="421"/>
        <v>0</v>
      </c>
      <c r="J2408" s="1690">
        <f t="shared" si="422"/>
        <v>0</v>
      </c>
      <c r="K2408" s="1690">
        <f t="shared" si="423"/>
        <v>0</v>
      </c>
      <c r="L2408" s="1690">
        <f t="shared" si="413"/>
        <v>0</v>
      </c>
      <c r="M2408" s="1690"/>
      <c r="N2408" s="1690"/>
      <c r="O2408" s="1690"/>
      <c r="P2408" s="1689">
        <f t="shared" si="418"/>
        <v>0</v>
      </c>
      <c r="Q2408" s="984"/>
      <c r="R2408" s="984"/>
      <c r="S2408" s="984"/>
      <c r="T2408" s="1858">
        <f t="shared" si="419"/>
        <v>0</v>
      </c>
    </row>
    <row r="2409" spans="1:20" ht="22.2" hidden="1" customHeight="1">
      <c r="A2409" s="1444">
        <f>COUNTIF($C$12:C2409,"x")</f>
        <v>64</v>
      </c>
      <c r="B2409" s="1457" t="s">
        <v>753</v>
      </c>
      <c r="C2409" s="60" t="str">
        <f t="shared" si="408"/>
        <v xml:space="preserve"> </v>
      </c>
      <c r="D2409" s="1439">
        <v>0.85</v>
      </c>
      <c r="E2409" s="980"/>
      <c r="F2409" s="981" t="str">
        <f>VLOOKUP($B2409,DG!A:D,DG!$C$2,)</f>
        <v>Đá 1x2</v>
      </c>
      <c r="G2409" s="976" t="str">
        <f>VLOOKUP($B2409,DG!A:D,DG!$D$2,)</f>
        <v>m3</v>
      </c>
      <c r="H2409" s="1690">
        <f t="shared" si="420"/>
        <v>0</v>
      </c>
      <c r="I2409" s="1690">
        <f t="shared" si="421"/>
        <v>0</v>
      </c>
      <c r="J2409" s="1690">
        <f t="shared" si="422"/>
        <v>0</v>
      </c>
      <c r="K2409" s="1690">
        <f t="shared" si="423"/>
        <v>0</v>
      </c>
      <c r="L2409" s="1690">
        <f t="shared" si="413"/>
        <v>0</v>
      </c>
      <c r="M2409" s="1690"/>
      <c r="N2409" s="1690"/>
      <c r="O2409" s="1690"/>
      <c r="P2409" s="1689">
        <f t="shared" si="418"/>
        <v>0</v>
      </c>
      <c r="Q2409" s="984"/>
      <c r="R2409" s="984"/>
      <c r="S2409" s="984"/>
      <c r="T2409" s="1858">
        <f t="shared" si="419"/>
        <v>0</v>
      </c>
    </row>
    <row r="2410" spans="1:20" ht="22.2" hidden="1" customHeight="1">
      <c r="A2410" s="1444">
        <f>COUNTIF($C$12:C2410,"x")</f>
        <v>64</v>
      </c>
      <c r="B2410" s="1457" t="s">
        <v>754</v>
      </c>
      <c r="C2410" s="60" t="str">
        <f t="shared" si="408"/>
        <v xml:space="preserve"> </v>
      </c>
      <c r="D2410" s="1439">
        <v>0.13</v>
      </c>
      <c r="E2410" s="980"/>
      <c r="F2410" s="981" t="str">
        <f>VLOOKUP($B2410,DG!A:D,DG!$C$2,)</f>
        <v>Đá 4x6</v>
      </c>
      <c r="G2410" s="976" t="str">
        <f>VLOOKUP($B2410,DG!A:D,DG!$D$2,)</f>
        <v>m3</v>
      </c>
      <c r="H2410" s="1690">
        <f t="shared" si="420"/>
        <v>0</v>
      </c>
      <c r="I2410" s="1690">
        <f t="shared" si="421"/>
        <v>0</v>
      </c>
      <c r="J2410" s="1690">
        <f t="shared" si="422"/>
        <v>0</v>
      </c>
      <c r="K2410" s="1690">
        <f t="shared" si="423"/>
        <v>0</v>
      </c>
      <c r="L2410" s="1690">
        <f t="shared" si="413"/>
        <v>0</v>
      </c>
      <c r="M2410" s="1690"/>
      <c r="N2410" s="1690"/>
      <c r="O2410" s="1690"/>
      <c r="P2410" s="1689">
        <f t="shared" si="418"/>
        <v>0</v>
      </c>
      <c r="Q2410" s="984"/>
      <c r="R2410" s="984"/>
      <c r="S2410" s="984"/>
      <c r="T2410" s="1858">
        <f t="shared" si="419"/>
        <v>0</v>
      </c>
    </row>
    <row r="2411" spans="1:20" ht="22.2" hidden="1" customHeight="1">
      <c r="A2411" s="1444">
        <f>COUNTIF($C$12:C2411,"x")</f>
        <v>64</v>
      </c>
      <c r="B2411" s="1457" t="s">
        <v>755</v>
      </c>
      <c r="C2411" s="60" t="str">
        <f t="shared" si="408"/>
        <v xml:space="preserve"> </v>
      </c>
      <c r="D2411" s="1439">
        <v>0.5</v>
      </c>
      <c r="E2411" s="980"/>
      <c r="F2411" s="981" t="str">
        <f>VLOOKUP($B2411,DG!A:D,DG!$C$2,)</f>
        <v>Nước đổ bê tông</v>
      </c>
      <c r="G2411" s="976" t="str">
        <f>VLOOKUP($B2411,DG!A:D,DG!$D$2,)</f>
        <v>m3</v>
      </c>
      <c r="H2411" s="1690">
        <f t="shared" si="420"/>
        <v>0</v>
      </c>
      <c r="I2411" s="1690">
        <f t="shared" si="421"/>
        <v>0</v>
      </c>
      <c r="J2411" s="1690">
        <f t="shared" si="422"/>
        <v>0</v>
      </c>
      <c r="K2411" s="1690">
        <f t="shared" si="423"/>
        <v>0</v>
      </c>
      <c r="L2411" s="1690">
        <f t="shared" si="413"/>
        <v>0</v>
      </c>
      <c r="M2411" s="1690"/>
      <c r="N2411" s="1690"/>
      <c r="O2411" s="1690"/>
      <c r="P2411" s="1689">
        <f t="shared" si="418"/>
        <v>0</v>
      </c>
      <c r="Q2411" s="984"/>
      <c r="R2411" s="984"/>
      <c r="S2411" s="984"/>
      <c r="T2411" s="1858">
        <f t="shared" si="419"/>
        <v>0</v>
      </c>
    </row>
    <row r="2412" spans="1:20" ht="22.2" hidden="1" customHeight="1">
      <c r="A2412" s="1444">
        <f>COUNTIF($C$12:C2412,"x")</f>
        <v>64</v>
      </c>
      <c r="B2412" s="1457" t="s">
        <v>756</v>
      </c>
      <c r="C2412" s="60" t="str">
        <f t="shared" si="408"/>
        <v xml:space="preserve"> </v>
      </c>
      <c r="D2412" s="1439">
        <v>0.14000000000000001</v>
      </c>
      <c r="E2412" s="980"/>
      <c r="F2412" s="988" t="str">
        <f>VLOOKUP($B2412,DG!A:D,DG!$C$2,)</f>
        <v>Dây thép buộc A70</v>
      </c>
      <c r="G2412" s="976" t="str">
        <f>VLOOKUP($B2412,DG!A:D,DG!$D$2,)</f>
        <v>kg</v>
      </c>
      <c r="H2412" s="1690">
        <f t="shared" si="420"/>
        <v>0</v>
      </c>
      <c r="I2412" s="1690">
        <f t="shared" si="421"/>
        <v>0</v>
      </c>
      <c r="J2412" s="1690">
        <f t="shared" si="422"/>
        <v>0</v>
      </c>
      <c r="K2412" s="1690">
        <f t="shared" si="423"/>
        <v>0</v>
      </c>
      <c r="L2412" s="1690">
        <f t="shared" si="413"/>
        <v>0</v>
      </c>
      <c r="M2412" s="1690"/>
      <c r="N2412" s="1690"/>
      <c r="O2412" s="1690"/>
      <c r="P2412" s="1689">
        <f t="shared" si="418"/>
        <v>0</v>
      </c>
      <c r="Q2412" s="984"/>
      <c r="R2412" s="984"/>
      <c r="S2412" s="984"/>
      <c r="T2412" s="1858">
        <f t="shared" si="419"/>
        <v>0</v>
      </c>
    </row>
    <row r="2413" spans="1:20" ht="22.2" hidden="1" customHeight="1">
      <c r="A2413" s="1444">
        <f>COUNTIF($C$12:C2413,"x")</f>
        <v>64</v>
      </c>
      <c r="B2413" s="1457" t="s">
        <v>1424</v>
      </c>
      <c r="C2413" s="60" t="str">
        <f t="shared" si="408"/>
        <v xml:space="preserve"> </v>
      </c>
      <c r="D2413" s="1439">
        <v>16</v>
      </c>
      <c r="E2413" s="980"/>
      <c r="F2413" s="988" t="str">
        <f>VLOOKUP($B2413,DG!A:D,DG!$C$2,)</f>
        <v>Sắt Ø8</v>
      </c>
      <c r="G2413" s="976" t="str">
        <f>VLOOKUP($B2413,DG!A:D,DG!$D$2,)</f>
        <v>kg</v>
      </c>
      <c r="H2413" s="1690">
        <f t="shared" si="420"/>
        <v>0</v>
      </c>
      <c r="I2413" s="1690">
        <f t="shared" si="421"/>
        <v>0</v>
      </c>
      <c r="J2413" s="1690">
        <f t="shared" si="422"/>
        <v>0</v>
      </c>
      <c r="K2413" s="1690">
        <f t="shared" si="423"/>
        <v>0</v>
      </c>
      <c r="L2413" s="1690">
        <f t="shared" si="413"/>
        <v>0</v>
      </c>
      <c r="M2413" s="1690"/>
      <c r="N2413" s="1690"/>
      <c r="O2413" s="1690"/>
      <c r="P2413" s="1689">
        <f t="shared" si="418"/>
        <v>0</v>
      </c>
      <c r="Q2413" s="984"/>
      <c r="R2413" s="984"/>
      <c r="S2413" s="984"/>
      <c r="T2413" s="1858">
        <f t="shared" si="419"/>
        <v>0</v>
      </c>
    </row>
    <row r="2414" spans="1:20" ht="22.2" hidden="1" customHeight="1">
      <c r="A2414" s="1444">
        <f>COUNTIF($C$12:C2414,"x")</f>
        <v>64</v>
      </c>
      <c r="B2414" s="1457" t="s">
        <v>757</v>
      </c>
      <c r="C2414" s="60" t="str">
        <f t="shared" si="408"/>
        <v xml:space="preserve"> </v>
      </c>
      <c r="D2414" s="1439">
        <v>36</v>
      </c>
      <c r="E2414" s="976" t="str">
        <f>VLOOKUP($B2414,DG!A:D,DG!$B$2,)</f>
        <v>04.5142</v>
      </c>
      <c r="F2414" s="988" t="str">
        <f>VLOOKUP($B2414,DG!A:D,DG!$C$2,)</f>
        <v>Cừ tràm 2,5m</v>
      </c>
      <c r="G2414" s="976" t="str">
        <f>VLOOKUP($B2414,DG!A:D,DG!$D$2,)</f>
        <v>cây</v>
      </c>
      <c r="H2414" s="1690">
        <f t="shared" si="420"/>
        <v>0</v>
      </c>
      <c r="I2414" s="1690">
        <f t="shared" si="421"/>
        <v>0</v>
      </c>
      <c r="J2414" s="1690">
        <f t="shared" si="422"/>
        <v>0</v>
      </c>
      <c r="K2414" s="1690">
        <f t="shared" si="423"/>
        <v>0</v>
      </c>
      <c r="L2414" s="1690">
        <f t="shared" si="413"/>
        <v>0</v>
      </c>
      <c r="M2414" s="1690"/>
      <c r="N2414" s="1690"/>
      <c r="O2414" s="1690"/>
      <c r="P2414" s="1689">
        <f t="shared" si="418"/>
        <v>0</v>
      </c>
      <c r="Q2414" s="984"/>
      <c r="R2414" s="984"/>
      <c r="S2414" s="984"/>
      <c r="T2414" s="1858">
        <f t="shared" si="419"/>
        <v>0</v>
      </c>
    </row>
    <row r="2415" spans="1:20" ht="22.2" hidden="1" customHeight="1">
      <c r="A2415" s="1444">
        <f>COUNTIF($C$12:C2415,"x")</f>
        <v>64</v>
      </c>
      <c r="B2415" s="1457" t="s">
        <v>976</v>
      </c>
      <c r="C2415" s="60" t="str">
        <f t="shared" si="408"/>
        <v xml:space="preserve"> </v>
      </c>
      <c r="D2415" s="1439">
        <v>15</v>
      </c>
      <c r="E2415" s="976" t="str">
        <f>VLOOKUP($B2415,DG!A:D,DG!$B$2,)</f>
        <v>03.1112</v>
      </c>
      <c r="F2415" s="981" t="str">
        <f>VLOOKUP($B2415,DG!A:D,DG!$C$2,)</f>
        <v>Đào hố móng đất cấp 2 sâu &gt;1m</v>
      </c>
      <c r="G2415" s="976" t="str">
        <f>VLOOKUP($B2415,DG!A:D,DG!$D$2,)</f>
        <v>m3</v>
      </c>
      <c r="H2415" s="1690">
        <f t="shared" si="420"/>
        <v>0</v>
      </c>
      <c r="I2415" s="1690"/>
      <c r="J2415" s="1690"/>
      <c r="K2415" s="1690"/>
      <c r="L2415" s="1690"/>
      <c r="M2415" s="1690"/>
      <c r="N2415" s="1690"/>
      <c r="O2415" s="1690"/>
      <c r="P2415" s="1689">
        <f t="shared" si="418"/>
        <v>0</v>
      </c>
      <c r="Q2415" s="984"/>
      <c r="R2415" s="984"/>
      <c r="S2415" s="984"/>
      <c r="T2415" s="1858">
        <f t="shared" si="419"/>
        <v>0</v>
      </c>
    </row>
    <row r="2416" spans="1:20" ht="22.2" hidden="1" customHeight="1">
      <c r="A2416" s="1444">
        <f>COUNTIF($C$12:C2416,"x")</f>
        <v>64</v>
      </c>
      <c r="B2416" s="1457" t="s">
        <v>977</v>
      </c>
      <c r="C2416" s="60" t="str">
        <f t="shared" si="408"/>
        <v xml:space="preserve"> </v>
      </c>
      <c r="D2416" s="1439">
        <v>15</v>
      </c>
      <c r="E2416" s="976" t="str">
        <f>VLOOKUP($B2416,DG!A:D,DG!$B$2,)</f>
        <v>03.2202</v>
      </c>
      <c r="F2416" s="981" t="str">
        <f>VLOOKUP($B2416,DG!A:D,DG!$C$2,)</f>
        <v>Đắp đất hố móng, đất cấp 2</v>
      </c>
      <c r="G2416" s="976" t="str">
        <f>VLOOKUP($B2416,DG!A:D,DG!$D$2,)</f>
        <v>m3</v>
      </c>
      <c r="H2416" s="1690">
        <f t="shared" si="420"/>
        <v>0</v>
      </c>
      <c r="I2416" s="1690"/>
      <c r="J2416" s="1690"/>
      <c r="K2416" s="1690"/>
      <c r="L2416" s="1690"/>
      <c r="M2416" s="1690"/>
      <c r="N2416" s="1690"/>
      <c r="O2416" s="1690"/>
      <c r="P2416" s="1689">
        <f t="shared" si="418"/>
        <v>0</v>
      </c>
      <c r="Q2416" s="984"/>
      <c r="R2416" s="984"/>
      <c r="S2416" s="984"/>
      <c r="T2416" s="1858">
        <f t="shared" si="419"/>
        <v>0</v>
      </c>
    </row>
    <row r="2417" spans="1:20" ht="22.2" hidden="1" customHeight="1">
      <c r="A2417" s="1444">
        <f>COUNTIF($C$12:C2417,"x")</f>
        <v>64</v>
      </c>
      <c r="B2417" s="1457" t="s">
        <v>1955</v>
      </c>
      <c r="C2417" s="60" t="str">
        <f t="shared" si="408"/>
        <v xml:space="preserve"> </v>
      </c>
      <c r="D2417" s="1439">
        <v>0.14399999999999999</v>
      </c>
      <c r="E2417" s="976" t="str">
        <f>VLOOKUP($B2417,DG!A:D,DG!$B$2,)</f>
        <v>04.3112</v>
      </c>
      <c r="F2417" s="981" t="str">
        <f>VLOOKUP($B2417,DG!A:D,DG!$C$2,)</f>
        <v>Đổ bê tông mác M100 đá 4x6</v>
      </c>
      <c r="G2417" s="976" t="str">
        <f>VLOOKUP($B2417,DG!A:D,DG!$D$2,)</f>
        <v>m3</v>
      </c>
      <c r="H2417" s="1690">
        <f t="shared" si="420"/>
        <v>0</v>
      </c>
      <c r="I2417" s="1690"/>
      <c r="J2417" s="1690"/>
      <c r="K2417" s="1690"/>
      <c r="L2417" s="1690"/>
      <c r="M2417" s="1690"/>
      <c r="N2417" s="1690"/>
      <c r="O2417" s="1690"/>
      <c r="P2417" s="1689">
        <f t="shared" si="418"/>
        <v>0</v>
      </c>
      <c r="Q2417" s="984"/>
      <c r="R2417" s="984"/>
      <c r="S2417" s="984"/>
      <c r="T2417" s="1858">
        <f t="shared" si="419"/>
        <v>0</v>
      </c>
    </row>
    <row r="2418" spans="1:20" ht="22.2" hidden="1" customHeight="1">
      <c r="A2418" s="1444">
        <f>COUNTIF($C$12:C2418,"x")</f>
        <v>64</v>
      </c>
      <c r="B2418" s="1457" t="s">
        <v>1836</v>
      </c>
      <c r="C2418" s="60" t="str">
        <f t="shared" si="408"/>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8"/>
        <v>0</v>
      </c>
      <c r="Q2418" s="984"/>
      <c r="R2418" s="984"/>
      <c r="S2418" s="984"/>
      <c r="T2418" s="1858">
        <f t="shared" si="419"/>
        <v>0</v>
      </c>
    </row>
    <row r="2419" spans="1:20" ht="22.2" hidden="1" customHeight="1">
      <c r="A2419" s="1444">
        <f>COUNTIF($C$12:C2419,"x")</f>
        <v>64</v>
      </c>
      <c r="B2419" s="1457" t="s">
        <v>9</v>
      </c>
      <c r="C2419" s="60" t="str">
        <f t="shared" si="408"/>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8"/>
        <v>0</v>
      </c>
      <c r="Q2419" s="984"/>
      <c r="R2419" s="984"/>
      <c r="S2419" s="984"/>
      <c r="T2419" s="1858">
        <f t="shared" si="419"/>
        <v>0</v>
      </c>
    </row>
    <row r="2420" spans="1:20" ht="22.2" hidden="1" customHeight="1">
      <c r="A2420" s="1444">
        <f>COUNTIF($C$12:C2420,"x")</f>
        <v>64</v>
      </c>
      <c r="B2420" s="1457" t="s">
        <v>10</v>
      </c>
      <c r="C2420" s="60" t="str">
        <f t="shared" si="408"/>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8"/>
        <v>0</v>
      </c>
      <c r="Q2420" s="984"/>
      <c r="R2420" s="984"/>
      <c r="S2420" s="984"/>
      <c r="T2420" s="1858">
        <f t="shared" si="419"/>
        <v>0</v>
      </c>
    </row>
    <row r="2421" spans="1:20" ht="22.2" hidden="1" customHeight="1">
      <c r="A2421" s="1444">
        <f>COUNTIF($C$12:C2421,"x")</f>
        <v>64</v>
      </c>
      <c r="B2421" s="1457" t="s">
        <v>18</v>
      </c>
      <c r="C2421" s="60" t="str">
        <f t="shared" si="408"/>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8"/>
        <v>0</v>
      </c>
      <c r="Q2421" s="987"/>
      <c r="R2421" s="987"/>
      <c r="S2421" s="987"/>
      <c r="T2421" s="1858">
        <f t="shared" si="419"/>
        <v>0</v>
      </c>
    </row>
    <row r="2422" spans="1:20" ht="22.2" hidden="1" customHeight="1">
      <c r="A2422" s="1444">
        <f>COUNTIF($C$12:C2422,"x")</f>
        <v>64</v>
      </c>
      <c r="B2422" s="1457" t="s">
        <v>19</v>
      </c>
      <c r="C2422" s="60" t="str">
        <f t="shared" si="408"/>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8"/>
        <v>0</v>
      </c>
      <c r="Q2422" s="987"/>
      <c r="R2422" s="987"/>
      <c r="S2422" s="987"/>
      <c r="T2422" s="1858">
        <f t="shared" si="419"/>
        <v>0</v>
      </c>
    </row>
    <row r="2423" spans="1:20" ht="22.2" hidden="1" customHeight="1">
      <c r="A2423" s="1444">
        <f>COUNTIF($C$12:C2423,"x")</f>
        <v>64</v>
      </c>
      <c r="B2423" s="1457" t="s">
        <v>17</v>
      </c>
      <c r="C2423" s="60" t="str">
        <f t="shared" si="408"/>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8"/>
        <v>0</v>
      </c>
      <c r="Q2423" s="987"/>
      <c r="R2423" s="987"/>
      <c r="S2423" s="987"/>
      <c r="T2423" s="1858">
        <f t="shared" si="419"/>
        <v>0</v>
      </c>
    </row>
    <row r="2424" spans="1:20" ht="22.2" hidden="1" customHeight="1">
      <c r="A2424" s="1444">
        <f>COUNTIF($C$12:C2424,"x")</f>
        <v>64</v>
      </c>
      <c r="B2424" s="1457" t="s">
        <v>20</v>
      </c>
      <c r="C2424" s="60" t="str">
        <f t="shared" si="408"/>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8"/>
        <v>0</v>
      </c>
      <c r="Q2424" s="1299"/>
      <c r="R2424" s="1299"/>
      <c r="S2424" s="1299"/>
      <c r="T2424" s="1858">
        <f t="shared" si="419"/>
        <v>0</v>
      </c>
    </row>
    <row r="2425" spans="1:20" ht="16.2" hidden="1">
      <c r="A2425" s="1444">
        <f>COUNTIF($C$12:C2425,"x")</f>
        <v>65</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9"/>
        <v>0</v>
      </c>
    </row>
    <row r="2426" spans="1:20" ht="16.2" hidden="1">
      <c r="A2426" s="56"/>
      <c r="C2426" s="967"/>
      <c r="D2426" s="1441"/>
      <c r="Q2426" s="53"/>
      <c r="T2426" s="53"/>
    </row>
    <row r="2427" spans="1:20" ht="16.2">
      <c r="D2427" s="1441"/>
    </row>
    <row r="2428" spans="1:20" ht="16.2">
      <c r="D2428" s="1441"/>
    </row>
    <row r="2429" spans="1:20" ht="16.2">
      <c r="D2429" s="1441"/>
    </row>
    <row r="2430" spans="1:20" ht="16.2">
      <c r="D2430" s="1441"/>
    </row>
    <row r="2431" spans="1:20" ht="16.2">
      <c r="D2431" s="1441"/>
      <c r="F2431" s="952"/>
    </row>
    <row r="2432" spans="1:20" ht="16.8">
      <c r="D2432" s="1441"/>
      <c r="F2432" s="953"/>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row r="2858" spans="4:4" ht="16.2">
      <c r="D2858" s="1441"/>
    </row>
    <row r="2859" spans="4:4" ht="16.2">
      <c r="D2859" s="1441"/>
    </row>
    <row r="2860" spans="4:4" ht="16.2">
      <c r="D2860" s="1441"/>
    </row>
    <row r="2861" spans="4:4" ht="16.2">
      <c r="D2861" s="1441"/>
    </row>
    <row r="2862" spans="4:4" ht="16.2">
      <c r="D2862" s="1441"/>
    </row>
    <row r="2863" spans="4:4" ht="16.2">
      <c r="D2863" s="1441"/>
    </row>
    <row r="2864" spans="4:4" ht="16.2">
      <c r="D2864" s="1441"/>
    </row>
    <row r="2865" spans="4:4" ht="16.2">
      <c r="D2865" s="1441"/>
    </row>
  </sheetData>
  <autoFilter ref="A10:S2426" xr:uid="{00000000-0009-0000-0000-000011000000}">
    <filterColumn colId="2">
      <customFilters>
        <customFilter operator="notEqual" val=" "/>
      </customFilters>
    </filterColumn>
    <filterColumn colId="5">
      <colorFilter dxfId="0"/>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2" priority="102" timePeriod="today">
      <formula>FLOOR(T1,1)=TODAY()</formula>
    </cfRule>
  </conditionalFormatting>
  <conditionalFormatting sqref="B2408 B77 B94 B176 B341 B378 B398 B433 B533 B553 B569">
    <cfRule type="duplicateValues" dxfId="121"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0" priority="97" operator="containsText" text="x">
      <formula>NOT(ISERROR(SEARCH("x",C1)))</formula>
    </cfRule>
  </conditionalFormatting>
  <conditionalFormatting sqref="C1839">
    <cfRule type="containsText" dxfId="119" priority="95" operator="containsText" text="x">
      <formula>NOT(ISERROR(SEARCH("x",C1839)))</formula>
    </cfRule>
  </conditionalFormatting>
  <conditionalFormatting sqref="C1922:C1923">
    <cfRule type="containsText" dxfId="118" priority="93" operator="containsText" text="x">
      <formula>NOT(ISERROR(SEARCH("x",C1922)))</formula>
    </cfRule>
  </conditionalFormatting>
  <conditionalFormatting sqref="C1107:C1113">
    <cfRule type="containsText" dxfId="117"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6" priority="90" operator="greaterThan">
      <formula>0</formula>
    </cfRule>
  </conditionalFormatting>
  <conditionalFormatting sqref="C2370">
    <cfRule type="containsText" dxfId="115" priority="88" operator="containsText" text="x">
      <formula>NOT(ISERROR(SEARCH("x",C2370)))</formula>
    </cfRule>
  </conditionalFormatting>
  <conditionalFormatting sqref="C2368">
    <cfRule type="containsText" dxfId="114" priority="85" operator="containsText" text="x">
      <formula>NOT(ISERROR(SEARCH("x",C2368)))</formula>
    </cfRule>
  </conditionalFormatting>
  <conditionalFormatting sqref="C2085">
    <cfRule type="containsText" dxfId="113" priority="80" operator="containsText" text="x">
      <formula>NOT(ISERROR(SEARCH("x",C2085)))</formula>
    </cfRule>
  </conditionalFormatting>
  <conditionalFormatting sqref="C1989:C1990">
    <cfRule type="containsText" dxfId="112" priority="77" operator="containsText" text="x">
      <formula>NOT(ISERROR(SEARCH("x",C1989)))</formula>
    </cfRule>
  </conditionalFormatting>
  <conditionalFormatting sqref="T898:T908">
    <cfRule type="timePeriod" dxfId="111" priority="75" timePeriod="today">
      <formula>FLOOR(T898,1)=TODAY()</formula>
    </cfRule>
  </conditionalFormatting>
  <conditionalFormatting sqref="C898:C908">
    <cfRule type="containsText" dxfId="110" priority="74" operator="containsText" text="x">
      <formula>NOT(ISERROR(SEARCH("x",C898)))</formula>
    </cfRule>
  </conditionalFormatting>
  <conditionalFormatting sqref="T898:T908">
    <cfRule type="cellIs" dxfId="109" priority="73" operator="greaterThan">
      <formula>0</formula>
    </cfRule>
  </conditionalFormatting>
  <conditionalFormatting sqref="T652:T662">
    <cfRule type="timePeriod" dxfId="108" priority="72" timePeriod="today">
      <formula>FLOOR(T652,1)=TODAY()</formula>
    </cfRule>
  </conditionalFormatting>
  <conditionalFormatting sqref="C652:C662">
    <cfRule type="containsText" dxfId="107" priority="71" operator="containsText" text="x">
      <formula>NOT(ISERROR(SEARCH("x",C652)))</formula>
    </cfRule>
  </conditionalFormatting>
  <conditionalFormatting sqref="T652:T662">
    <cfRule type="cellIs" dxfId="106" priority="70" operator="greaterThan">
      <formula>0</formula>
    </cfRule>
  </conditionalFormatting>
  <conditionalFormatting sqref="C1932">
    <cfRule type="containsText" dxfId="105" priority="68" operator="containsText" text="x">
      <formula>NOT(ISERROR(SEARCH("x",C1932)))</formula>
    </cfRule>
  </conditionalFormatting>
  <conditionalFormatting sqref="C1933">
    <cfRule type="containsText" dxfId="104" priority="65" operator="containsText" text="x">
      <formula>NOT(ISERROR(SEARCH("x",C1933)))</formula>
    </cfRule>
  </conditionalFormatting>
  <conditionalFormatting sqref="T360:T361">
    <cfRule type="timePeriod" dxfId="103" priority="63" timePeriod="today">
      <formula>FLOOR(T360,1)=TODAY()</formula>
    </cfRule>
  </conditionalFormatting>
  <conditionalFormatting sqref="C360:C361">
    <cfRule type="containsText" dxfId="102" priority="62" operator="containsText" text="x">
      <formula>NOT(ISERROR(SEARCH("x",C360)))</formula>
    </cfRule>
  </conditionalFormatting>
  <conditionalFormatting sqref="T360:T361">
    <cfRule type="cellIs" dxfId="101" priority="61" operator="greaterThan">
      <formula>0</formula>
    </cfRule>
  </conditionalFormatting>
  <conditionalFormatting sqref="T363">
    <cfRule type="timePeriod" dxfId="100" priority="60" timePeriod="today">
      <formula>FLOOR(T363,1)=TODAY()</formula>
    </cfRule>
  </conditionalFormatting>
  <conditionalFormatting sqref="C363">
    <cfRule type="containsText" dxfId="99" priority="59" operator="containsText" text="x">
      <formula>NOT(ISERROR(SEARCH("x",C363)))</formula>
    </cfRule>
  </conditionalFormatting>
  <conditionalFormatting sqref="T363">
    <cfRule type="cellIs" dxfId="98" priority="58" operator="greaterThan">
      <formula>0</formula>
    </cfRule>
  </conditionalFormatting>
  <conditionalFormatting sqref="T645">
    <cfRule type="timePeriod" dxfId="97" priority="57" timePeriod="today">
      <formula>FLOOR(T645,1)=TODAY()</formula>
    </cfRule>
  </conditionalFormatting>
  <conditionalFormatting sqref="C645">
    <cfRule type="containsText" dxfId="96" priority="56" operator="containsText" text="x">
      <formula>NOT(ISERROR(SEARCH("x",C645)))</formula>
    </cfRule>
  </conditionalFormatting>
  <conditionalFormatting sqref="T645">
    <cfRule type="cellIs" dxfId="95" priority="55" operator="greaterThan">
      <formula>0</formula>
    </cfRule>
  </conditionalFormatting>
  <conditionalFormatting sqref="T1118">
    <cfRule type="timePeriod" dxfId="94" priority="54" timePeriod="today">
      <formula>FLOOR(T1118,1)=TODAY()</formula>
    </cfRule>
  </conditionalFormatting>
  <conditionalFormatting sqref="C1118">
    <cfRule type="containsText" dxfId="93" priority="53" operator="containsText" text="x">
      <formula>NOT(ISERROR(SEARCH("x",C1118)))</formula>
    </cfRule>
  </conditionalFormatting>
  <conditionalFormatting sqref="T1118">
    <cfRule type="cellIs" dxfId="92" priority="52" operator="greaterThan">
      <formula>0</formula>
    </cfRule>
  </conditionalFormatting>
  <conditionalFormatting sqref="T1196">
    <cfRule type="timePeriod" dxfId="91" priority="51" timePeriod="today">
      <formula>FLOOR(T1196,1)=TODAY()</formula>
    </cfRule>
  </conditionalFormatting>
  <conditionalFormatting sqref="C1196">
    <cfRule type="containsText" dxfId="90" priority="50" operator="containsText" text="x">
      <formula>NOT(ISERROR(SEARCH("x",C1196)))</formula>
    </cfRule>
  </conditionalFormatting>
  <conditionalFormatting sqref="T1196">
    <cfRule type="cellIs" dxfId="89" priority="49" operator="greaterThan">
      <formula>0</formula>
    </cfRule>
  </conditionalFormatting>
  <conditionalFormatting sqref="T1182">
    <cfRule type="timePeriod" dxfId="88" priority="48" timePeriod="today">
      <formula>FLOOR(T1182,1)=TODAY()</formula>
    </cfRule>
  </conditionalFormatting>
  <conditionalFormatting sqref="C1182">
    <cfRule type="containsText" dxfId="87" priority="47" operator="containsText" text="x">
      <formula>NOT(ISERROR(SEARCH("x",C1182)))</formula>
    </cfRule>
  </conditionalFormatting>
  <conditionalFormatting sqref="T1182">
    <cfRule type="cellIs" dxfId="86" priority="46" operator="greaterThan">
      <formula>0</formula>
    </cfRule>
  </conditionalFormatting>
  <conditionalFormatting sqref="T632">
    <cfRule type="timePeriod" dxfId="85" priority="45" timePeriod="today">
      <formula>FLOOR(T632,1)=TODAY()</formula>
    </cfRule>
  </conditionalFormatting>
  <conditionalFormatting sqref="C632">
    <cfRule type="containsText" dxfId="84" priority="44" operator="containsText" text="x">
      <formula>NOT(ISERROR(SEARCH("x",C632)))</formula>
    </cfRule>
  </conditionalFormatting>
  <conditionalFormatting sqref="T632">
    <cfRule type="cellIs" dxfId="83" priority="43" operator="greaterThan">
      <formula>0</formula>
    </cfRule>
  </conditionalFormatting>
  <conditionalFormatting sqref="C1954">
    <cfRule type="containsText" dxfId="82" priority="41" operator="containsText" text="x">
      <formula>NOT(ISERROR(SEARCH("x",C1954)))</formula>
    </cfRule>
  </conditionalFormatting>
  <conditionalFormatting sqref="C1955">
    <cfRule type="containsText" dxfId="81" priority="38" operator="containsText" text="x">
      <formula>NOT(ISERROR(SEARCH("x",C1955)))</formula>
    </cfRule>
  </conditionalFormatting>
  <conditionalFormatting sqref="T2328">
    <cfRule type="timePeriod" dxfId="80" priority="36" timePeriod="today">
      <formula>FLOOR(T2328,1)=TODAY()</formula>
    </cfRule>
  </conditionalFormatting>
  <conditionalFormatting sqref="C2328">
    <cfRule type="containsText" dxfId="79" priority="35" operator="containsText" text="x">
      <formula>NOT(ISERROR(SEARCH("x",C2328)))</formula>
    </cfRule>
  </conditionalFormatting>
  <conditionalFormatting sqref="T2328">
    <cfRule type="cellIs" dxfId="78" priority="34" operator="greaterThan">
      <formula>0</formula>
    </cfRule>
  </conditionalFormatting>
  <conditionalFormatting sqref="C1946">
    <cfRule type="containsText" dxfId="77" priority="32" operator="containsText" text="x">
      <formula>NOT(ISERROR(SEARCH("x",C1946)))</formula>
    </cfRule>
  </conditionalFormatting>
  <conditionalFormatting sqref="T448:T464">
    <cfRule type="timePeriod" dxfId="76" priority="30" timePeriod="today">
      <formula>FLOOR(T448,1)=TODAY()</formula>
    </cfRule>
  </conditionalFormatting>
  <conditionalFormatting sqref="B450">
    <cfRule type="duplicateValues" dxfId="75" priority="29"/>
  </conditionalFormatting>
  <conditionalFormatting sqref="C448:C464">
    <cfRule type="containsText" dxfId="74" priority="28" operator="containsText" text="x">
      <formula>NOT(ISERROR(SEARCH("x",C448)))</formula>
    </cfRule>
  </conditionalFormatting>
  <conditionalFormatting sqref="T448:T464">
    <cfRule type="cellIs" dxfId="73" priority="27" operator="greaterThan">
      <formula>0</formula>
    </cfRule>
  </conditionalFormatting>
  <conditionalFormatting sqref="T666">
    <cfRule type="timePeriod" dxfId="72" priority="26" timePeriod="today">
      <formula>FLOOR(T666,1)=TODAY()</formula>
    </cfRule>
  </conditionalFormatting>
  <conditionalFormatting sqref="C666">
    <cfRule type="containsText" dxfId="71" priority="25" operator="containsText" text="x">
      <formula>NOT(ISERROR(SEARCH("x",C666)))</formula>
    </cfRule>
  </conditionalFormatting>
  <conditionalFormatting sqref="T666">
    <cfRule type="cellIs" dxfId="70" priority="24" operator="greaterThan">
      <formula>0</formula>
    </cfRule>
  </conditionalFormatting>
  <conditionalFormatting sqref="T667">
    <cfRule type="timePeriod" dxfId="69" priority="23" timePeriod="today">
      <formula>FLOOR(T667,1)=TODAY()</formula>
    </cfRule>
  </conditionalFormatting>
  <conditionalFormatting sqref="C667">
    <cfRule type="containsText" dxfId="68" priority="22" operator="containsText" text="x">
      <formula>NOT(ISERROR(SEARCH("x",C667)))</formula>
    </cfRule>
  </conditionalFormatting>
  <conditionalFormatting sqref="T667">
    <cfRule type="cellIs" dxfId="67" priority="21" operator="greaterThan">
      <formula>0</formula>
    </cfRule>
  </conditionalFormatting>
  <conditionalFormatting sqref="C1778">
    <cfRule type="containsText" dxfId="66" priority="19" operator="containsText" text="x">
      <formula>NOT(ISERROR(SEARCH("x",C1778)))</formula>
    </cfRule>
  </conditionalFormatting>
  <conditionalFormatting sqref="C1779">
    <cfRule type="containsText" dxfId="65" priority="16" operator="containsText" text="x">
      <formula>NOT(ISERROR(SEARCH("x",C1779)))</formula>
    </cfRule>
  </conditionalFormatting>
  <conditionalFormatting sqref="T1843:T1849">
    <cfRule type="timePeriod" dxfId="64" priority="14" timePeriod="today">
      <formula>FLOOR(T1843,1)=TODAY()</formula>
    </cfRule>
  </conditionalFormatting>
  <conditionalFormatting sqref="C1847:C1849 C1843:C1845">
    <cfRule type="containsText" dxfId="63" priority="13" operator="containsText" text="x">
      <formula>NOT(ISERROR(SEARCH("x",C1843)))</formula>
    </cfRule>
  </conditionalFormatting>
  <conditionalFormatting sqref="C1846">
    <cfRule type="containsText" dxfId="62" priority="12" operator="containsText" text="x">
      <formula>NOT(ISERROR(SEARCH("x",C1846)))</formula>
    </cfRule>
  </conditionalFormatting>
  <conditionalFormatting sqref="T1843:T1849">
    <cfRule type="cellIs" dxfId="61" priority="11" operator="greaterThan">
      <formula>0</formula>
    </cfRule>
  </conditionalFormatting>
  <conditionalFormatting sqref="B1810">
    <cfRule type="duplicateValues" dxfId="60" priority="10"/>
  </conditionalFormatting>
  <conditionalFormatting sqref="T1861:T1875 T1889">
    <cfRule type="timePeriod" dxfId="59" priority="9" timePeriod="today">
      <formula>FLOOR(T1861,1)=TODAY()</formula>
    </cfRule>
  </conditionalFormatting>
  <conditionalFormatting sqref="C1861:C1875 C1889">
    <cfRule type="containsText" dxfId="58" priority="8" operator="containsText" text="x">
      <formula>NOT(ISERROR(SEARCH("x",C1861)))</formula>
    </cfRule>
  </conditionalFormatting>
  <conditionalFormatting sqref="T1861:T1875 T1889">
    <cfRule type="cellIs" dxfId="57" priority="7" operator="greaterThan">
      <formula>0</formula>
    </cfRule>
  </conditionalFormatting>
  <conditionalFormatting sqref="T1876:T1888">
    <cfRule type="timePeriod" dxfId="56" priority="6" timePeriod="today">
      <formula>FLOOR(T1876,1)=TODAY()</formula>
    </cfRule>
  </conditionalFormatting>
  <conditionalFormatting sqref="C1876:C1888">
    <cfRule type="containsText" dxfId="55" priority="5" operator="containsText" text="x">
      <formula>NOT(ISERROR(SEARCH("x",C1876)))</formula>
    </cfRule>
  </conditionalFormatting>
  <conditionalFormatting sqref="T1876:T1888">
    <cfRule type="cellIs" dxfId="54" priority="4" operator="greaterThan">
      <formula>0</formula>
    </cfRule>
  </conditionalFormatting>
  <conditionalFormatting sqref="T1956">
    <cfRule type="timePeriod" dxfId="53" priority="3" timePeriod="today">
      <formula>FLOOR(T1956,1)=TODAY()</formula>
    </cfRule>
  </conditionalFormatting>
  <conditionalFormatting sqref="C1956">
    <cfRule type="containsText" dxfId="52" priority="2" operator="containsText" text="x">
      <formula>NOT(ISERROR(SEARCH("x",C1956)))</formula>
    </cfRule>
  </conditionalFormatting>
  <conditionalFormatting sqref="T1956">
    <cfRule type="cellIs" dxfId="5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21" t="s">
        <v>4208</v>
      </c>
      <c r="B1" s="3221"/>
      <c r="C1" s="3221"/>
      <c r="D1" s="3221"/>
      <c r="E1" s="3221"/>
      <c r="F1" s="3221"/>
      <c r="G1" s="3221"/>
      <c r="H1" s="3221"/>
      <c r="I1" s="3221"/>
      <c r="J1" s="3221"/>
      <c r="K1" s="3221"/>
      <c r="L1" s="3221"/>
      <c r="M1" s="3221"/>
      <c r="N1" s="3221"/>
      <c r="O1" s="3221"/>
      <c r="P1" s="3221"/>
      <c r="R1" s="812"/>
    </row>
    <row r="2" spans="1:24" ht="35.25" customHeight="1">
      <c r="A2" s="3220" t="str">
        <f>"Tên công trình: "&amp;Solieu!C6</f>
        <v xml:space="preserve">Tên công trình: </v>
      </c>
      <c r="B2" s="3220"/>
      <c r="C2" s="3220"/>
      <c r="D2" s="3220"/>
      <c r="E2" s="3220"/>
      <c r="F2" s="3220"/>
      <c r="G2" s="3220"/>
      <c r="H2" s="3220"/>
      <c r="I2" s="3220"/>
      <c r="J2" s="3220"/>
      <c r="K2" s="3222" t="str">
        <f>"Đơn vị thi công: "&amp;Solieu!C10</f>
        <v>Đơn vị thi công: x</v>
      </c>
      <c r="L2" s="3222"/>
      <c r="M2" s="3222"/>
      <c r="N2" s="3222"/>
      <c r="O2" s="3222"/>
      <c r="P2" s="3222"/>
    </row>
    <row r="3" spans="1:24" ht="26.25" customHeight="1" thickBot="1">
      <c r="A3" s="3220" t="s">
        <v>4209</v>
      </c>
      <c r="B3" s="3220"/>
      <c r="C3" s="3220"/>
      <c r="D3" s="3220"/>
      <c r="E3" s="3220"/>
      <c r="F3" s="3220"/>
      <c r="G3" s="3220"/>
      <c r="H3" s="3220"/>
      <c r="I3" s="3220"/>
      <c r="J3" s="3220"/>
      <c r="K3" s="3223" t="s">
        <v>4210</v>
      </c>
      <c r="L3" s="3224"/>
      <c r="M3" s="3224"/>
      <c r="N3" s="3224"/>
      <c r="O3" s="3224"/>
      <c r="P3" s="3225"/>
    </row>
    <row r="4" spans="1:24" ht="26.25" customHeight="1" thickTop="1">
      <c r="A4" s="3220" t="s">
        <v>4211</v>
      </c>
      <c r="B4" s="3220"/>
      <c r="C4" s="3220"/>
      <c r="D4" s="3220"/>
      <c r="E4" s="3220"/>
      <c r="F4" s="3220"/>
      <c r="G4" s="3220"/>
      <c r="H4" s="3220"/>
      <c r="I4" s="3220"/>
      <c r="J4" s="3220"/>
      <c r="K4" s="3220"/>
      <c r="L4" s="3220"/>
      <c r="M4" s="3220"/>
      <c r="N4" s="3220"/>
      <c r="O4" s="3220"/>
      <c r="P4" s="3220"/>
      <c r="R4" s="900"/>
      <c r="S4" s="736"/>
      <c r="T4" s="737"/>
      <c r="U4" s="910"/>
      <c r="V4" s="899"/>
      <c r="W4" s="911"/>
      <c r="X4" s="912"/>
    </row>
    <row r="5" spans="1:24" ht="28.5" customHeight="1">
      <c r="A5" s="3222" t="s">
        <v>4212</v>
      </c>
      <c r="B5" s="3222" t="s">
        <v>4213</v>
      </c>
      <c r="C5" s="3222"/>
      <c r="D5" s="3222" t="s">
        <v>4214</v>
      </c>
      <c r="E5" s="855" t="s">
        <v>4215</v>
      </c>
      <c r="F5" s="855"/>
      <c r="G5" s="855"/>
      <c r="H5" s="855"/>
      <c r="I5" s="855"/>
      <c r="J5" s="855"/>
      <c r="K5" s="855"/>
      <c r="L5" s="855"/>
      <c r="M5" s="855"/>
      <c r="N5" s="3226" t="s">
        <v>4216</v>
      </c>
      <c r="O5" s="3222" t="s">
        <v>4217</v>
      </c>
      <c r="P5" s="3222"/>
      <c r="R5" s="900"/>
      <c r="S5" s="736"/>
      <c r="T5" s="737"/>
      <c r="U5" s="913"/>
      <c r="V5" s="898"/>
      <c r="W5" s="897"/>
      <c r="X5" s="898"/>
    </row>
    <row r="6" spans="1:24" ht="28.5" customHeight="1">
      <c r="A6" s="3222"/>
      <c r="B6" s="3222" t="s">
        <v>4218</v>
      </c>
      <c r="C6" s="3222" t="s">
        <v>4219</v>
      </c>
      <c r="D6" s="3222"/>
      <c r="E6" s="3222" t="s">
        <v>4220</v>
      </c>
      <c r="F6" s="3222" t="s">
        <v>4221</v>
      </c>
      <c r="G6" s="3222" t="s">
        <v>4222</v>
      </c>
      <c r="H6" s="3222" t="s">
        <v>4223</v>
      </c>
      <c r="I6" s="3222"/>
      <c r="J6" s="3222" t="s">
        <v>4224</v>
      </c>
      <c r="K6" s="3222"/>
      <c r="L6" s="3222"/>
      <c r="M6" s="3222"/>
      <c r="N6" s="3227"/>
      <c r="O6" s="3222" t="s">
        <v>4225</v>
      </c>
      <c r="P6" s="3222" t="s">
        <v>4226</v>
      </c>
      <c r="R6" s="900"/>
      <c r="S6" s="736"/>
      <c r="T6" s="737"/>
      <c r="U6" s="909"/>
      <c r="V6" s="909"/>
      <c r="W6" s="909"/>
      <c r="X6" s="909"/>
    </row>
    <row r="7" spans="1:24" ht="48" customHeight="1">
      <c r="A7" s="3222"/>
      <c r="B7" s="3222"/>
      <c r="C7" s="3222"/>
      <c r="D7" s="3222"/>
      <c r="E7" s="3222"/>
      <c r="F7" s="3222"/>
      <c r="G7" s="3222"/>
      <c r="H7" s="820" t="s">
        <v>4227</v>
      </c>
      <c r="I7" s="820" t="s">
        <v>4228</v>
      </c>
      <c r="J7" s="820" t="s">
        <v>4229</v>
      </c>
      <c r="K7" s="820" t="s">
        <v>4230</v>
      </c>
      <c r="L7" s="820" t="s">
        <v>4227</v>
      </c>
      <c r="M7" s="820" t="s">
        <v>4231</v>
      </c>
      <c r="N7" s="3228"/>
      <c r="O7" s="3222"/>
      <c r="P7" s="3222"/>
      <c r="Q7" s="810" t="s">
        <v>512</v>
      </c>
      <c r="R7" s="900"/>
      <c r="S7" s="735"/>
      <c r="T7" s="735"/>
      <c r="U7" s="736"/>
      <c r="V7" s="737"/>
      <c r="W7" s="737"/>
      <c r="X7" s="737"/>
    </row>
    <row r="8" spans="1:24" ht="23.25" customHeight="1">
      <c r="A8" s="861"/>
      <c r="B8" s="914" t="s">
        <v>4297</v>
      </c>
      <c r="C8" s="857" t="str">
        <f t="shared" ref="C8:C26" si="0">B8</f>
        <v>01/13</v>
      </c>
      <c r="D8" s="736">
        <v>25</v>
      </c>
      <c r="E8" s="858" t="s">
        <v>4295</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4298</v>
      </c>
      <c r="C9" s="857" t="str">
        <f t="shared" si="0"/>
        <v>01/14</v>
      </c>
      <c r="D9" s="736">
        <v>38</v>
      </c>
      <c r="E9" s="858" t="s">
        <v>4295</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4299</v>
      </c>
      <c r="C10" s="857" t="str">
        <f t="shared" si="0"/>
        <v>01/15</v>
      </c>
      <c r="D10" s="735">
        <v>40</v>
      </c>
      <c r="E10" s="858" t="s">
        <v>4295</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4300</v>
      </c>
      <c r="C11" s="857" t="str">
        <f t="shared" si="0"/>
        <v>01/16</v>
      </c>
      <c r="D11" s="735">
        <v>40</v>
      </c>
      <c r="E11" s="858" t="s">
        <v>4295</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4301</v>
      </c>
      <c r="C12" s="857" t="str">
        <f t="shared" si="0"/>
        <v>01/17</v>
      </c>
      <c r="D12" s="735">
        <v>38</v>
      </c>
      <c r="E12" s="858" t="s">
        <v>4295</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4302</v>
      </c>
      <c r="C13" s="857" t="str">
        <f t="shared" si="0"/>
        <v>01/18</v>
      </c>
      <c r="D13" s="735">
        <v>40</v>
      </c>
      <c r="E13" s="858" t="s">
        <v>4295</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4303</v>
      </c>
      <c r="C14" s="857" t="str">
        <f t="shared" si="0"/>
        <v>01/19</v>
      </c>
      <c r="D14" s="735">
        <v>40</v>
      </c>
      <c r="E14" s="858" t="s">
        <v>4295</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4304</v>
      </c>
      <c r="C15" s="857" t="str">
        <f t="shared" si="0"/>
        <v>01/20</v>
      </c>
      <c r="D15" s="735">
        <v>38</v>
      </c>
      <c r="E15" s="858" t="s">
        <v>4295</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4305</v>
      </c>
      <c r="C16" s="857" t="str">
        <f t="shared" si="0"/>
        <v>01/21</v>
      </c>
      <c r="D16" s="735">
        <v>40</v>
      </c>
      <c r="E16" s="858" t="s">
        <v>4295</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4306</v>
      </c>
      <c r="C17" s="857" t="str">
        <f t="shared" si="0"/>
        <v>01/22</v>
      </c>
      <c r="D17" s="735">
        <v>40</v>
      </c>
      <c r="E17" s="858" t="s">
        <v>4295</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4307</v>
      </c>
      <c r="C18" s="857" t="str">
        <f t="shared" si="0"/>
        <v>01/23</v>
      </c>
      <c r="D18" s="735">
        <v>40</v>
      </c>
      <c r="E18" s="858" t="s">
        <v>4295</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4308</v>
      </c>
      <c r="C19" s="857" t="str">
        <f t="shared" si="0"/>
        <v>01/24</v>
      </c>
      <c r="D19" s="901">
        <v>40</v>
      </c>
      <c r="E19" s="858" t="s">
        <v>4295</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4309</v>
      </c>
      <c r="C20" s="857" t="str">
        <f t="shared" si="0"/>
        <v>01/25</v>
      </c>
      <c r="D20" s="902">
        <v>38</v>
      </c>
      <c r="E20" s="858" t="s">
        <v>4295</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4310</v>
      </c>
      <c r="C21" s="857" t="str">
        <f t="shared" si="0"/>
        <v>01/26</v>
      </c>
      <c r="D21" s="902">
        <v>35</v>
      </c>
      <c r="E21" s="858" t="s">
        <v>4295</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4311</v>
      </c>
      <c r="C22" s="857" t="str">
        <f t="shared" si="0"/>
        <v>01/27</v>
      </c>
      <c r="D22" s="735">
        <v>35</v>
      </c>
      <c r="E22" s="858" t="s">
        <v>4295</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4312</v>
      </c>
      <c r="C23" s="857" t="str">
        <f t="shared" si="0"/>
        <v>01/28</v>
      </c>
      <c r="D23" s="901">
        <v>38</v>
      </c>
      <c r="E23" s="858" t="s">
        <v>4295</v>
      </c>
      <c r="F23" s="859">
        <v>1.2</v>
      </c>
      <c r="G23" s="860" t="s">
        <v>87</v>
      </c>
      <c r="H23" s="858"/>
      <c r="I23" s="858"/>
      <c r="J23" s="858"/>
      <c r="K23" s="858"/>
      <c r="L23" s="858"/>
      <c r="M23" s="858"/>
      <c r="N23" s="858"/>
      <c r="O23" s="858"/>
      <c r="P23" s="858"/>
      <c r="Q23" s="810" t="str">
        <f t="shared" si="1"/>
        <v>x</v>
      </c>
    </row>
    <row r="24" spans="1:20" ht="28.5" customHeight="1">
      <c r="A24" s="861"/>
      <c r="B24" s="914" t="s">
        <v>4313</v>
      </c>
      <c r="C24" s="857" t="str">
        <f t="shared" si="0"/>
        <v>01/29</v>
      </c>
      <c r="D24" s="535">
        <v>40</v>
      </c>
      <c r="E24" s="858" t="s">
        <v>4295</v>
      </c>
      <c r="F24" s="859">
        <v>1.2</v>
      </c>
      <c r="G24" s="860" t="s">
        <v>87</v>
      </c>
      <c r="H24" s="858"/>
      <c r="I24" s="858"/>
      <c r="J24" s="858"/>
      <c r="K24" s="858"/>
      <c r="L24" s="858"/>
      <c r="M24" s="858"/>
      <c r="N24" s="858"/>
      <c r="O24" s="858"/>
      <c r="P24" s="858"/>
      <c r="Q24" s="810" t="str">
        <f t="shared" si="1"/>
        <v>x</v>
      </c>
    </row>
    <row r="25" spans="1:20" ht="28.5" customHeight="1">
      <c r="A25" s="861"/>
      <c r="B25" s="914" t="s">
        <v>4314</v>
      </c>
      <c r="C25" s="857" t="str">
        <f t="shared" si="0"/>
        <v>01/30</v>
      </c>
      <c r="D25" s="535">
        <v>40</v>
      </c>
      <c r="E25" s="858" t="s">
        <v>4295</v>
      </c>
      <c r="F25" s="859">
        <v>1.2</v>
      </c>
      <c r="G25" s="860" t="s">
        <v>87</v>
      </c>
      <c r="H25" s="858"/>
      <c r="I25" s="858"/>
      <c r="J25" s="858"/>
      <c r="K25" s="858"/>
      <c r="L25" s="858"/>
      <c r="M25" s="858"/>
      <c r="N25" s="858"/>
      <c r="O25" s="858"/>
      <c r="P25" s="858"/>
      <c r="Q25" s="810" t="str">
        <f t="shared" si="1"/>
        <v>x</v>
      </c>
    </row>
    <row r="26" spans="1:20" ht="28.5" customHeight="1">
      <c r="A26" s="861"/>
      <c r="B26" s="914" t="s">
        <v>4315</v>
      </c>
      <c r="C26" s="857" t="str">
        <f t="shared" si="0"/>
        <v>01/31</v>
      </c>
      <c r="D26" s="535">
        <v>40</v>
      </c>
      <c r="E26" s="858" t="s">
        <v>4295</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19" t="str">
        <f>"- Tổng chiều dài tuyến: "&amp;ROUND(SUM(D8:D50),1)&amp;" m"</f>
        <v>- Tổng chiều dài tuyến: 725 m</v>
      </c>
      <c r="D52" s="3220"/>
      <c r="E52" s="3220"/>
      <c r="F52" s="3220"/>
      <c r="G52" s="3220"/>
      <c r="H52" s="3220"/>
      <c r="I52" s="3220"/>
      <c r="J52" s="3220"/>
      <c r="K52" s="3220"/>
      <c r="L52" s="3220"/>
      <c r="M52" s="3220"/>
      <c r="N52" s="3220"/>
      <c r="O52" s="3220"/>
      <c r="P52" s="3220"/>
    </row>
    <row r="53" spans="1:17" ht="21.75" customHeight="1">
      <c r="A53" s="924" t="s">
        <v>4232</v>
      </c>
      <c r="B53" s="918"/>
      <c r="C53" s="3219" t="str">
        <f>"- Tổng số lượng trụ "&amp;$E$8&amp;"m: "&amp;COUNTIF(E8:E51,$E$8)&amp;" trụ."</f>
        <v>- Tổng số lượng trụ 7,5m: 19 trụ.</v>
      </c>
      <c r="D53" s="3220"/>
      <c r="E53" s="3220"/>
      <c r="F53" s="3220"/>
      <c r="G53" s="3220"/>
      <c r="H53" s="3220"/>
      <c r="I53" s="3220"/>
      <c r="J53" s="3220"/>
      <c r="K53" s="3220"/>
      <c r="L53" s="3220"/>
      <c r="M53" s="3220"/>
      <c r="N53" s="3220"/>
      <c r="O53" s="3220"/>
      <c r="P53" s="3220"/>
    </row>
    <row r="54" spans="1:17" ht="21.75" customHeight="1">
      <c r="A54" s="919"/>
      <c r="B54" s="920"/>
      <c r="C54" s="3219" t="str">
        <f>"- Tổng số lượng móng M7BT đôi: "&amp;TEXT(COUNTIF(G6:G51,"M7BT ĐÔI"),"00")&amp;" móng."</f>
        <v>- Tổng số lượng móng M7BT đôi: 00 móng.</v>
      </c>
      <c r="D54" s="3220"/>
      <c r="E54" s="3220"/>
      <c r="F54" s="3220"/>
      <c r="G54" s="3220"/>
      <c r="H54" s="3220"/>
      <c r="I54" s="3220"/>
      <c r="J54" s="3220"/>
      <c r="K54" s="3220"/>
      <c r="L54" s="3220"/>
      <c r="M54" s="3220"/>
      <c r="N54" s="3220"/>
      <c r="O54" s="3220"/>
      <c r="P54" s="3220"/>
    </row>
    <row r="55" spans="1:17" ht="21.75" hidden="1" customHeight="1">
      <c r="A55" s="919"/>
      <c r="B55" s="920"/>
      <c r="C55" s="3219" t="str">
        <f>"- Tổng số lượng móng M12BT đơn: "&amp;TEXT(COUNTIF(G6:G13,"M12BT ĐƠN"),"00")&amp;" móng."</f>
        <v>- Tổng số lượng móng M12BT đơn: 00 móng.</v>
      </c>
      <c r="D55" s="3220"/>
      <c r="E55" s="3220"/>
      <c r="F55" s="3220"/>
      <c r="G55" s="3220"/>
      <c r="H55" s="3220"/>
      <c r="I55" s="3220"/>
      <c r="J55" s="3220"/>
      <c r="K55" s="3220"/>
      <c r="L55" s="3220"/>
      <c r="M55" s="3220"/>
      <c r="N55" s="3220"/>
      <c r="O55" s="3220"/>
      <c r="P55" s="3220"/>
      <c r="Q55" s="810">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21" t="s">
        <v>4233</v>
      </c>
      <c r="B1" s="3221"/>
      <c r="C1" s="3221"/>
      <c r="D1" s="3221"/>
      <c r="E1" s="3221"/>
      <c r="F1" s="3221"/>
      <c r="G1" s="3221"/>
      <c r="H1" s="3221"/>
      <c r="I1" s="3221"/>
      <c r="J1" s="3221"/>
      <c r="K1" s="3221"/>
      <c r="L1" s="3221"/>
      <c r="M1" s="3221"/>
      <c r="N1" s="3221"/>
      <c r="O1" s="3221"/>
      <c r="P1" s="3221"/>
      <c r="R1" s="812" t="s">
        <v>4139</v>
      </c>
    </row>
    <row r="2" spans="1:20" ht="33.75" customHeight="1">
      <c r="A2" s="3229" t="e">
        <f>"Tên công trình: "&amp;Solieu!#REF!</f>
        <v>#REF!</v>
      </c>
      <c r="B2" s="3230"/>
      <c r="C2" s="3230"/>
      <c r="D2" s="3230"/>
      <c r="E2" s="3230"/>
      <c r="F2" s="3230"/>
      <c r="G2" s="3230"/>
      <c r="H2" s="3230"/>
      <c r="I2" s="3230"/>
      <c r="J2" s="3231"/>
      <c r="K2" s="3222" t="str">
        <f>"Đơn vị thi công: "&amp;Solieu!C10</f>
        <v>Đơn vị thi công: x</v>
      </c>
      <c r="L2" s="3222"/>
      <c r="M2" s="3222"/>
      <c r="N2" s="3222"/>
      <c r="O2" s="3222"/>
      <c r="P2" s="3222"/>
    </row>
    <row r="3" spans="1:20" ht="25.5" customHeight="1">
      <c r="A3" s="3220" t="s">
        <v>4234</v>
      </c>
      <c r="B3" s="3220"/>
      <c r="C3" s="3220"/>
      <c r="D3" s="3220"/>
      <c r="E3" s="3220"/>
      <c r="F3" s="3220"/>
      <c r="G3" s="3220"/>
      <c r="H3" s="3220"/>
      <c r="I3" s="3220"/>
      <c r="J3" s="3220"/>
      <c r="K3" s="3223" t="s">
        <v>4210</v>
      </c>
      <c r="L3" s="3224"/>
      <c r="M3" s="3224"/>
      <c r="N3" s="3224"/>
      <c r="O3" s="3224"/>
      <c r="P3" s="3225"/>
    </row>
    <row r="4" spans="1:20" ht="25.5" customHeight="1">
      <c r="A4" s="3220" t="s">
        <v>4211</v>
      </c>
      <c r="B4" s="3220"/>
      <c r="C4" s="3220"/>
      <c r="D4" s="3220"/>
      <c r="E4" s="3220"/>
      <c r="F4" s="3220"/>
      <c r="G4" s="3220"/>
      <c r="H4" s="3220"/>
      <c r="I4" s="3220"/>
      <c r="J4" s="3220"/>
      <c r="K4" s="3220"/>
      <c r="L4" s="3220"/>
      <c r="M4" s="3220"/>
      <c r="N4" s="3220"/>
      <c r="O4" s="3220"/>
      <c r="P4" s="3220"/>
    </row>
    <row r="5" spans="1:20">
      <c r="A5" s="3222" t="s">
        <v>4212</v>
      </c>
      <c r="B5" s="3222" t="s">
        <v>4235</v>
      </c>
      <c r="C5" s="3222"/>
      <c r="D5" s="3222" t="s">
        <v>3775</v>
      </c>
      <c r="E5" s="3222" t="s">
        <v>4236</v>
      </c>
      <c r="F5" s="3222" t="s">
        <v>4237</v>
      </c>
      <c r="G5" s="3222"/>
      <c r="H5" s="3222" t="s">
        <v>4238</v>
      </c>
      <c r="I5" s="3222"/>
      <c r="J5" s="3222"/>
      <c r="K5" s="3222"/>
      <c r="L5" s="3222" t="s">
        <v>4239</v>
      </c>
      <c r="M5" s="3222"/>
      <c r="N5" s="3222" t="s">
        <v>4216</v>
      </c>
      <c r="O5" s="3222" t="s">
        <v>4217</v>
      </c>
      <c r="P5" s="3222"/>
    </row>
    <row r="6" spans="1:20">
      <c r="A6" s="3222"/>
      <c r="B6" s="3222"/>
      <c r="C6" s="3222"/>
      <c r="D6" s="3222"/>
      <c r="E6" s="3222"/>
      <c r="F6" s="3222"/>
      <c r="G6" s="3222"/>
      <c r="H6" s="3222"/>
      <c r="I6" s="3222"/>
      <c r="J6" s="3222"/>
      <c r="K6" s="3222"/>
      <c r="L6" s="3222"/>
      <c r="M6" s="3222"/>
      <c r="N6" s="3222"/>
      <c r="O6" s="3222"/>
      <c r="P6" s="3222"/>
    </row>
    <row r="7" spans="1:20">
      <c r="A7" s="3222"/>
      <c r="B7" s="3222"/>
      <c r="C7" s="3222"/>
      <c r="D7" s="3222"/>
      <c r="E7" s="3222"/>
      <c r="F7" s="3222"/>
      <c r="G7" s="3222"/>
      <c r="H7" s="3222"/>
      <c r="I7" s="3222"/>
      <c r="J7" s="3222"/>
      <c r="K7" s="3222"/>
      <c r="L7" s="3222"/>
      <c r="M7" s="3222"/>
      <c r="N7" s="3222"/>
      <c r="O7" s="3222"/>
      <c r="P7" s="3222"/>
    </row>
    <row r="8" spans="1:20" ht="69.75" customHeight="1">
      <c r="A8" s="3222"/>
      <c r="B8" s="820" t="s">
        <v>4218</v>
      </c>
      <c r="C8" s="820" t="s">
        <v>4240</v>
      </c>
      <c r="D8" s="3222"/>
      <c r="E8" s="3222"/>
      <c r="F8" s="820" t="s">
        <v>4241</v>
      </c>
      <c r="G8" s="820" t="s">
        <v>4242</v>
      </c>
      <c r="H8" s="820" t="s">
        <v>4243</v>
      </c>
      <c r="I8" s="820" t="s">
        <v>4231</v>
      </c>
      <c r="J8" s="820" t="s">
        <v>4244</v>
      </c>
      <c r="K8" s="864" t="s">
        <v>4231</v>
      </c>
      <c r="L8" s="820" t="s">
        <v>4245</v>
      </c>
      <c r="M8" s="820" t="s">
        <v>4231</v>
      </c>
      <c r="N8" s="3222"/>
      <c r="O8" s="820" t="s">
        <v>4225</v>
      </c>
      <c r="P8" s="820" t="s">
        <v>4226</v>
      </c>
      <c r="Q8" s="865" t="s">
        <v>512</v>
      </c>
      <c r="S8" s="821" t="s">
        <v>663</v>
      </c>
      <c r="T8" s="821" t="s">
        <v>664</v>
      </c>
    </row>
    <row r="9" spans="1:20" ht="33" customHeight="1">
      <c r="A9" s="850"/>
      <c r="B9" s="900" t="s">
        <v>4297</v>
      </c>
      <c r="C9" s="900" t="s">
        <v>4297</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4298</v>
      </c>
      <c r="C10" s="900" t="s">
        <v>4298</v>
      </c>
      <c r="D10" s="736" t="s">
        <v>4316</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4300</v>
      </c>
      <c r="C11" s="900" t="s">
        <v>4300</v>
      </c>
      <c r="D11" s="736" t="s">
        <v>4316</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4301</v>
      </c>
      <c r="C12" s="900" t="s">
        <v>4301</v>
      </c>
      <c r="D12" s="736" t="s">
        <v>4316</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4303</v>
      </c>
      <c r="C13" s="900" t="s">
        <v>4303</v>
      </c>
      <c r="D13" s="736" t="s">
        <v>4316</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4304</v>
      </c>
      <c r="C14" s="900" t="s">
        <v>4304</v>
      </c>
      <c r="D14" s="736" t="s">
        <v>4316</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4309</v>
      </c>
      <c r="C15" s="900" t="s">
        <v>4309</v>
      </c>
      <c r="D15" s="737" t="s">
        <v>4316</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4310</v>
      </c>
      <c r="C16" s="900" t="s">
        <v>4310</v>
      </c>
      <c r="D16" s="737" t="s">
        <v>4316</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4315</v>
      </c>
      <c r="C17" s="900" t="s">
        <v>4315</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0" t="str">
        <f>"Tổng cộng: "&amp;TEXT((17-COUNTBLANK(B9:B25)),"00")&amp;" bộ."</f>
        <v>Tổng cộng: 09 bộ.</v>
      </c>
      <c r="B26" s="3220"/>
      <c r="C26" s="3220"/>
      <c r="D26" s="870"/>
      <c r="E26" s="870"/>
      <c r="F26" s="870"/>
      <c r="G26" s="870"/>
      <c r="H26" s="870"/>
      <c r="I26" s="870"/>
      <c r="J26" s="870"/>
      <c r="K26" s="871"/>
      <c r="L26" s="870"/>
      <c r="M26" s="870"/>
      <c r="N26" s="870"/>
      <c r="O26" s="870"/>
      <c r="P26" s="870"/>
    </row>
    <row r="27" spans="1:18" ht="28.5" customHeight="1">
      <c r="A27" s="3220" t="s">
        <v>4246</v>
      </c>
      <c r="B27" s="3220"/>
      <c r="C27" s="3220"/>
      <c r="D27" s="3220" t="str">
        <f>"NXL:  "&amp;TEXT(COUNTIF(R:R,"CL"),"00")&amp;" bộ."</f>
        <v>NXL:  00 bộ.</v>
      </c>
      <c r="E27" s="3220"/>
      <c r="F27" s="3220"/>
      <c r="G27" s="3220"/>
      <c r="H27" s="3220"/>
      <c r="I27" s="3220"/>
      <c r="J27" s="3220"/>
      <c r="K27" s="3220"/>
      <c r="L27" s="3220"/>
      <c r="M27" s="3220"/>
      <c r="N27" s="3220"/>
      <c r="O27" s="3220"/>
      <c r="P27" s="3220"/>
    </row>
    <row r="28" spans="1:18" ht="28.5" customHeight="1">
      <c r="A28" s="3220"/>
      <c r="B28" s="3220"/>
      <c r="C28" s="3220"/>
      <c r="D28" s="3220" t="str">
        <f>"NXX:  "&amp;TEXT(COUNTIF(R:R,"CX"),"00")&amp;" bộ."</f>
        <v>NXX:  09 bộ.</v>
      </c>
      <c r="E28" s="3220"/>
      <c r="F28" s="3220"/>
      <c r="G28" s="3220"/>
      <c r="H28" s="3220"/>
      <c r="I28" s="3220"/>
      <c r="J28" s="3220"/>
      <c r="K28" s="3220"/>
      <c r="L28" s="3220"/>
      <c r="M28" s="3220"/>
      <c r="N28" s="3220"/>
      <c r="O28" s="3220"/>
      <c r="P28" s="3220"/>
    </row>
    <row r="29" spans="1:18">
      <c r="A29" s="811"/>
      <c r="B29" s="811"/>
      <c r="C29" s="811"/>
      <c r="D29" s="811"/>
      <c r="E29" s="811"/>
      <c r="F29" s="811"/>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33" t="s">
        <v>4247</v>
      </c>
      <c r="B1" s="3233"/>
      <c r="C1" s="3233"/>
      <c r="D1" s="3233"/>
      <c r="E1" s="3233"/>
      <c r="F1" s="3233"/>
      <c r="G1" s="3233"/>
      <c r="H1" s="3233"/>
      <c r="I1" s="3233"/>
      <c r="J1" s="3233"/>
      <c r="K1" s="3233"/>
      <c r="L1" s="3233"/>
      <c r="M1" s="3233"/>
      <c r="N1" s="3233"/>
      <c r="O1" s="3233"/>
      <c r="P1" s="3233"/>
      <c r="Q1" s="3233"/>
      <c r="R1" s="3233"/>
      <c r="S1" s="3233"/>
      <c r="T1" s="3233"/>
      <c r="V1" s="812" t="s">
        <v>4139</v>
      </c>
    </row>
    <row r="2" spans="1:30" ht="33" customHeight="1">
      <c r="A2" s="3229" t="e">
        <f>"Tên công trình: "&amp;Solieu!#REF!</f>
        <v>#REF!</v>
      </c>
      <c r="B2" s="3230"/>
      <c r="C2" s="3230"/>
      <c r="D2" s="3230"/>
      <c r="E2" s="3230"/>
      <c r="F2" s="3230"/>
      <c r="G2" s="3230"/>
      <c r="H2" s="3230"/>
      <c r="I2" s="3230"/>
      <c r="J2" s="3230"/>
      <c r="K2" s="3230"/>
      <c r="L2" s="3230"/>
      <c r="M2" s="3230"/>
      <c r="N2" s="3231"/>
      <c r="O2" s="3234" t="str">
        <f>"Đơn vị thi công: "&amp;Solieu!C10</f>
        <v>Đơn vị thi công: x</v>
      </c>
      <c r="P2" s="3235"/>
      <c r="Q2" s="3235"/>
      <c r="R2" s="3235"/>
      <c r="S2" s="3235"/>
      <c r="T2" s="3236"/>
    </row>
    <row r="3" spans="1:30" ht="31.5" customHeight="1">
      <c r="A3" s="3229" t="s">
        <v>4248</v>
      </c>
      <c r="B3" s="3230"/>
      <c r="C3" s="3230"/>
      <c r="D3" s="3230"/>
      <c r="E3" s="3230"/>
      <c r="F3" s="3230"/>
      <c r="G3" s="3230"/>
      <c r="H3" s="3230"/>
      <c r="I3" s="3230"/>
      <c r="J3" s="3230"/>
      <c r="K3" s="3230"/>
      <c r="L3" s="3230"/>
      <c r="M3" s="3230"/>
      <c r="N3" s="3231"/>
      <c r="O3" s="3222" t="s">
        <v>4249</v>
      </c>
      <c r="P3" s="3222"/>
      <c r="Q3" s="3222"/>
      <c r="R3" s="3222"/>
      <c r="S3" s="3222"/>
      <c r="T3" s="3222"/>
    </row>
    <row r="4" spans="1:30" ht="15.6">
      <c r="A4" s="3220" t="s">
        <v>4211</v>
      </c>
      <c r="B4" s="3220"/>
      <c r="C4" s="3220"/>
      <c r="D4" s="3220"/>
      <c r="E4" s="3220"/>
      <c r="F4" s="3220"/>
      <c r="G4" s="3220"/>
      <c r="H4" s="3220"/>
      <c r="I4" s="3220"/>
      <c r="J4" s="3220"/>
      <c r="K4" s="3220"/>
      <c r="L4" s="3220"/>
      <c r="M4" s="3220"/>
      <c r="N4" s="3220"/>
      <c r="O4" s="3220"/>
      <c r="P4" s="3220"/>
      <c r="Q4" s="3220"/>
      <c r="R4" s="3220"/>
      <c r="S4" s="3220"/>
      <c r="T4" s="3220"/>
    </row>
    <row r="5" spans="1:30" ht="32.25" customHeight="1">
      <c r="A5" s="3232" t="s">
        <v>4212</v>
      </c>
      <c r="B5" s="3232" t="s">
        <v>4250</v>
      </c>
      <c r="C5" s="3232"/>
      <c r="D5" s="3232" t="s">
        <v>3775</v>
      </c>
      <c r="E5" s="3232" t="s">
        <v>3286</v>
      </c>
      <c r="F5" s="3232"/>
      <c r="G5" s="3232" t="s">
        <v>4251</v>
      </c>
      <c r="H5" s="3232"/>
      <c r="I5" s="3232"/>
      <c r="J5" s="3232"/>
      <c r="K5" s="3232"/>
      <c r="L5" s="3232" t="s">
        <v>4252</v>
      </c>
      <c r="M5" s="3232"/>
      <c r="N5" s="3232"/>
      <c r="O5" s="3232" t="s">
        <v>4253</v>
      </c>
      <c r="P5" s="3232"/>
      <c r="Q5" s="3232"/>
      <c r="R5" s="3232" t="s">
        <v>4254</v>
      </c>
      <c r="S5" s="3232" t="s">
        <v>4217</v>
      </c>
      <c r="T5" s="3232"/>
    </row>
    <row r="6" spans="1:30" ht="35.25" customHeight="1">
      <c r="A6" s="3232"/>
      <c r="B6" s="3232" t="s">
        <v>4255</v>
      </c>
      <c r="C6" s="3232" t="s">
        <v>4240</v>
      </c>
      <c r="D6" s="3232"/>
      <c r="E6" s="3232" t="s">
        <v>4256</v>
      </c>
      <c r="F6" s="3232" t="s">
        <v>4257</v>
      </c>
      <c r="G6" s="3232" t="s">
        <v>4258</v>
      </c>
      <c r="H6" s="3232" t="s">
        <v>4259</v>
      </c>
      <c r="I6" s="3232" t="s">
        <v>4260</v>
      </c>
      <c r="J6" s="3232" t="s">
        <v>4261</v>
      </c>
      <c r="K6" s="3232" t="s">
        <v>4262</v>
      </c>
      <c r="L6" s="3232" t="s">
        <v>4263</v>
      </c>
      <c r="M6" s="3232" t="s">
        <v>4264</v>
      </c>
      <c r="N6" s="3232"/>
      <c r="O6" s="3232" t="s">
        <v>4265</v>
      </c>
      <c r="P6" s="3232" t="s">
        <v>4266</v>
      </c>
      <c r="Q6" s="3232" t="s">
        <v>4267</v>
      </c>
      <c r="R6" s="3232"/>
      <c r="S6" s="3232" t="s">
        <v>4268</v>
      </c>
      <c r="T6" s="3232" t="s">
        <v>4269</v>
      </c>
      <c r="U6" s="872">
        <v>17</v>
      </c>
      <c r="V6" s="872">
        <v>18</v>
      </c>
      <c r="W6" s="872">
        <v>19</v>
      </c>
      <c r="X6" s="872">
        <v>20</v>
      </c>
      <c r="Y6" s="872">
        <v>21</v>
      </c>
      <c r="Z6" s="872">
        <v>22</v>
      </c>
      <c r="AA6" s="872">
        <v>23</v>
      </c>
      <c r="AB6" s="872">
        <v>24</v>
      </c>
      <c r="AC6" s="872">
        <v>25</v>
      </c>
      <c r="AD6" s="872">
        <v>28</v>
      </c>
    </row>
    <row r="7" spans="1:30" ht="61.5" customHeight="1">
      <c r="A7" s="3232"/>
      <c r="B7" s="3232"/>
      <c r="C7" s="3232"/>
      <c r="D7" s="3232"/>
      <c r="E7" s="3232"/>
      <c r="F7" s="3232"/>
      <c r="G7" s="3232"/>
      <c r="H7" s="3232"/>
      <c r="I7" s="3232"/>
      <c r="J7" s="3232"/>
      <c r="K7" s="3232"/>
      <c r="L7" s="3232"/>
      <c r="M7" s="848" t="s">
        <v>4270</v>
      </c>
      <c r="N7" s="848" t="s">
        <v>4231</v>
      </c>
      <c r="O7" s="3232"/>
      <c r="P7" s="3232"/>
      <c r="Q7" s="3232"/>
      <c r="R7" s="3232"/>
      <c r="S7" s="3232"/>
      <c r="T7" s="3232"/>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0" t="s">
        <v>4271</v>
      </c>
      <c r="B1" s="3240"/>
      <c r="C1" s="3240"/>
      <c r="D1" s="3240"/>
      <c r="E1" s="3240"/>
      <c r="F1" s="3240"/>
      <c r="G1" s="3240"/>
      <c r="H1" s="3240"/>
      <c r="I1" s="3240"/>
    </row>
    <row r="2" spans="1:9" ht="47.25" customHeight="1">
      <c r="A2" s="3220" t="e">
        <f>"Tên công trình: "&amp;Solieu!#REF!</f>
        <v>#REF!</v>
      </c>
      <c r="B2" s="3220"/>
      <c r="C2" s="3220"/>
      <c r="D2" s="3220"/>
      <c r="E2" s="3220"/>
      <c r="F2" s="3220"/>
      <c r="G2" s="3223" t="str">
        <f>"Đơn vị thi công: "&amp;Solieu!C10</f>
        <v>Đơn vị thi công: x</v>
      </c>
      <c r="H2" s="3224"/>
      <c r="I2" s="3225"/>
    </row>
    <row r="3" spans="1:9" ht="31.5" customHeight="1">
      <c r="A3" s="3220" t="s">
        <v>4296</v>
      </c>
      <c r="B3" s="3220"/>
      <c r="C3" s="3220"/>
      <c r="D3" s="3220"/>
      <c r="E3" s="3220"/>
      <c r="F3" s="3220"/>
      <c r="G3" s="3241" t="s">
        <v>4210</v>
      </c>
      <c r="H3" s="3241"/>
      <c r="I3" s="3241"/>
    </row>
    <row r="4" spans="1:9" ht="15.6">
      <c r="A4" s="3220" t="s">
        <v>4211</v>
      </c>
      <c r="B4" s="3220"/>
      <c r="C4" s="3220"/>
      <c r="D4" s="3220"/>
      <c r="E4" s="3220"/>
      <c r="F4" s="3220"/>
      <c r="G4" s="3220"/>
      <c r="H4" s="3220"/>
      <c r="I4" s="3220"/>
    </row>
    <row r="5" spans="1:9" s="811" customFormat="1" ht="21" customHeight="1">
      <c r="A5" s="3222" t="s">
        <v>4212</v>
      </c>
      <c r="B5" s="3222" t="s">
        <v>4272</v>
      </c>
      <c r="C5" s="3222"/>
      <c r="D5" s="3222"/>
      <c r="E5" s="3222" t="s">
        <v>4273</v>
      </c>
      <c r="F5" s="3222"/>
      <c r="G5" s="3222" t="s">
        <v>4254</v>
      </c>
      <c r="H5" s="3222" t="s">
        <v>4217</v>
      </c>
      <c r="I5" s="3222"/>
    </row>
    <row r="6" spans="1:9" s="811" customFormat="1" ht="21" customHeight="1">
      <c r="A6" s="3222"/>
      <c r="B6" s="870" t="s">
        <v>4274</v>
      </c>
      <c r="C6" s="3222" t="s">
        <v>4275</v>
      </c>
      <c r="D6" s="3222" t="s">
        <v>4204</v>
      </c>
      <c r="E6" s="3222" t="s">
        <v>4276</v>
      </c>
      <c r="F6" s="3222" t="s">
        <v>4277</v>
      </c>
      <c r="G6" s="3222"/>
      <c r="H6" s="3222" t="s">
        <v>4268</v>
      </c>
      <c r="I6" s="3222" t="s">
        <v>4269</v>
      </c>
    </row>
    <row r="7" spans="1:9" s="811" customFormat="1" ht="21" customHeight="1">
      <c r="A7" s="3222"/>
      <c r="B7" s="870" t="s">
        <v>4278</v>
      </c>
      <c r="C7" s="3222"/>
      <c r="D7" s="3222"/>
      <c r="E7" s="3222"/>
      <c r="F7" s="3222"/>
      <c r="G7" s="3222"/>
      <c r="H7" s="3222"/>
      <c r="I7" s="3222"/>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37" t="s">
        <v>4279</v>
      </c>
      <c r="B10" s="3237"/>
      <c r="C10" s="3238" t="e">
        <f>C9</f>
        <v>#REF!</v>
      </c>
      <c r="D10" s="3239"/>
      <c r="E10" s="3239"/>
      <c r="F10" s="3239"/>
      <c r="G10" s="3239"/>
      <c r="H10" s="3239"/>
      <c r="I10" s="323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6" customWidth="1"/>
    <col min="2" max="10" width="8.90625" style="1616"/>
    <col min="11" max="16384" width="8.90625" style="1613"/>
  </cols>
  <sheetData>
    <row r="1" spans="1:11">
      <c r="A1" s="3243" t="s">
        <v>4158</v>
      </c>
      <c r="B1" s="3243"/>
      <c r="C1" s="3243"/>
      <c r="D1" s="3243"/>
      <c r="E1" s="3243"/>
      <c r="F1" s="3243"/>
      <c r="G1" s="3243"/>
      <c r="H1" s="3243"/>
      <c r="I1" s="3243"/>
      <c r="J1" s="3243"/>
      <c r="K1" s="812" t="s">
        <v>4139</v>
      </c>
    </row>
    <row r="2" spans="1:11" ht="18">
      <c r="A2" s="3244" t="s">
        <v>4159</v>
      </c>
      <c r="B2" s="3244"/>
      <c r="C2" s="3244"/>
      <c r="D2" s="3244"/>
      <c r="E2" s="3244"/>
      <c r="F2" s="3244"/>
      <c r="G2" s="3244"/>
      <c r="H2" s="3244"/>
      <c r="I2" s="3244"/>
      <c r="J2" s="3244"/>
    </row>
    <row r="3" spans="1:11" ht="15" customHeight="1">
      <c r="A3" s="3245" t="s">
        <v>4160</v>
      </c>
      <c r="B3" s="3245"/>
      <c r="C3" s="3245"/>
      <c r="D3" s="3245"/>
      <c r="E3" s="3245"/>
      <c r="F3" s="3245"/>
      <c r="G3" s="3245"/>
      <c r="H3" s="3245"/>
      <c r="I3" s="3245"/>
      <c r="J3" s="3245"/>
    </row>
    <row r="4" spans="1:11" ht="15" customHeight="1">
      <c r="A4" s="3246" t="s">
        <v>4589</v>
      </c>
      <c r="B4" s="3246"/>
      <c r="C4" s="3246"/>
      <c r="D4" s="3246"/>
      <c r="E4" s="3246"/>
      <c r="F4" s="3246"/>
      <c r="G4" s="3246"/>
      <c r="H4" s="3246"/>
      <c r="I4" s="3246"/>
      <c r="J4" s="3246"/>
    </row>
    <row r="5" spans="1:11" ht="31.5" customHeight="1">
      <c r="A5" s="3247" t="s">
        <v>4562</v>
      </c>
      <c r="B5" s="3247"/>
      <c r="C5" s="3247"/>
      <c r="D5" s="3247"/>
      <c r="E5" s="3247"/>
      <c r="F5" s="3247"/>
      <c r="G5" s="3247"/>
      <c r="H5" s="3247"/>
      <c r="I5" s="3247"/>
      <c r="J5" s="3247"/>
    </row>
    <row r="6" spans="1:11" s="1614" customFormat="1" ht="18.75" customHeight="1">
      <c r="A6" s="3247" t="s">
        <v>4563</v>
      </c>
      <c r="B6" s="3247"/>
      <c r="C6" s="3247"/>
      <c r="D6" s="3247"/>
      <c r="E6" s="3247"/>
      <c r="F6" s="3247"/>
      <c r="G6" s="3247"/>
      <c r="H6" s="3247"/>
      <c r="I6" s="3247"/>
      <c r="J6" s="3247"/>
    </row>
    <row r="7" spans="1:11" s="1614" customFormat="1" ht="18.75" customHeight="1">
      <c r="A7" s="3247" t="s">
        <v>4564</v>
      </c>
      <c r="B7" s="3247"/>
      <c r="C7" s="3247"/>
      <c r="D7" s="3247"/>
      <c r="E7" s="3247"/>
      <c r="F7" s="3247"/>
      <c r="G7" s="3247"/>
      <c r="H7" s="3247"/>
      <c r="I7" s="3247"/>
      <c r="J7" s="3247"/>
    </row>
    <row r="8" spans="1:11" ht="41.25" customHeight="1">
      <c r="A8" s="3248" t="s">
        <v>4590</v>
      </c>
      <c r="B8" s="3248"/>
      <c r="C8" s="3248"/>
      <c r="D8" s="3248"/>
      <c r="E8" s="3248"/>
      <c r="F8" s="3248"/>
      <c r="G8" s="3248"/>
      <c r="H8" s="3248"/>
      <c r="I8" s="3248"/>
      <c r="J8" s="3248"/>
    </row>
    <row r="9" spans="1:11" ht="28.5" customHeight="1">
      <c r="A9" s="1615" t="s">
        <v>4565</v>
      </c>
    </row>
    <row r="10" spans="1:11" ht="19.649999999999999" customHeight="1">
      <c r="B10" s="1617" t="s">
        <v>4161</v>
      </c>
    </row>
    <row r="11" spans="1:11" ht="19.649999999999999" customHeight="1">
      <c r="B11" s="1615" t="s">
        <v>4566</v>
      </c>
    </row>
    <row r="12" spans="1:11" ht="19.649999999999999" customHeight="1">
      <c r="B12" s="1615" t="s">
        <v>4162</v>
      </c>
    </row>
    <row r="13" spans="1:11" ht="19.649999999999999" customHeight="1">
      <c r="B13" s="1618" t="s">
        <v>4163</v>
      </c>
    </row>
    <row r="14" spans="1:11" ht="19.649999999999999" customHeight="1">
      <c r="C14" s="1616" t="s">
        <v>4591</v>
      </c>
    </row>
    <row r="15" spans="1:11" ht="19.649999999999999" customHeight="1">
      <c r="B15" s="1618" t="s">
        <v>4164</v>
      </c>
    </row>
    <row r="16" spans="1:11" ht="19.649999999999999" customHeight="1">
      <c r="B16" s="1619" t="s">
        <v>4567</v>
      </c>
      <c r="E16" s="1618" t="s">
        <v>4165</v>
      </c>
    </row>
    <row r="17" spans="1:10" ht="19.649999999999999" customHeight="1">
      <c r="B17" s="1616" t="s">
        <v>4592</v>
      </c>
      <c r="F17" s="1616" t="s">
        <v>4166</v>
      </c>
    </row>
    <row r="18" spans="1:10" ht="19.649999999999999" customHeight="1">
      <c r="B18" s="1616" t="s">
        <v>4568</v>
      </c>
      <c r="E18" s="1618" t="s">
        <v>4495</v>
      </c>
    </row>
    <row r="19" spans="1:10" ht="19.649999999999999" customHeight="1">
      <c r="B19" s="1616" t="s">
        <v>4569</v>
      </c>
      <c r="F19" s="1616" t="s">
        <v>4167</v>
      </c>
    </row>
    <row r="20" spans="1:10" ht="19.649999999999999" customHeight="1">
      <c r="B20" s="1618" t="s">
        <v>4570</v>
      </c>
    </row>
    <row r="21" spans="1:10" ht="19.649999999999999" customHeight="1">
      <c r="B21" s="1620" t="s">
        <v>4571</v>
      </c>
      <c r="C21" s="1621"/>
      <c r="D21" s="1621"/>
      <c r="E21" s="1621"/>
      <c r="F21" s="1621"/>
      <c r="G21" s="1621"/>
      <c r="H21" s="1621"/>
      <c r="I21" s="1621"/>
      <c r="J21" s="1621"/>
    </row>
    <row r="22" spans="1:10" s="1625" customFormat="1" ht="19.649999999999999" customHeight="1">
      <c r="A22" s="1622"/>
      <c r="B22" s="1623" t="s">
        <v>4572</v>
      </c>
      <c r="C22" s="1624"/>
      <c r="D22" s="1624"/>
      <c r="E22" s="1624"/>
      <c r="F22" s="1624"/>
      <c r="G22" s="1624"/>
      <c r="H22" s="1624"/>
      <c r="I22" s="1624"/>
      <c r="J22" s="1624"/>
    </row>
    <row r="23" spans="1:10" s="1625" customFormat="1" ht="19.649999999999999" customHeight="1">
      <c r="A23" s="1622"/>
      <c r="B23" s="1623" t="s">
        <v>4573</v>
      </c>
      <c r="C23" s="1624"/>
      <c r="D23" s="1624"/>
      <c r="E23" s="1624"/>
      <c r="F23" s="1624"/>
      <c r="G23" s="1624"/>
      <c r="H23" s="1624"/>
      <c r="I23" s="1624"/>
      <c r="J23" s="1624"/>
    </row>
    <row r="24" spans="1:10" s="1625" customFormat="1" ht="19.649999999999999" customHeight="1">
      <c r="A24" s="1622"/>
      <c r="B24" s="1623" t="s">
        <v>4574</v>
      </c>
      <c r="C24" s="1624"/>
      <c r="D24" s="1624"/>
      <c r="E24" s="1624"/>
      <c r="F24" s="1624"/>
      <c r="G24" s="1624"/>
      <c r="H24" s="1624"/>
      <c r="I24" s="1624"/>
      <c r="J24" s="1624"/>
    </row>
    <row r="25" spans="1:10" s="1625" customFormat="1" ht="19.649999999999999" customHeight="1">
      <c r="A25" s="1622"/>
      <c r="B25" s="1623" t="s">
        <v>4575</v>
      </c>
      <c r="C25" s="1624"/>
      <c r="D25" s="1624"/>
      <c r="E25" s="1624"/>
      <c r="F25" s="1624"/>
      <c r="G25" s="1624"/>
      <c r="H25" s="1624"/>
      <c r="I25" s="1624"/>
      <c r="J25" s="1624"/>
    </row>
    <row r="26" spans="1:10" s="1625" customFormat="1" ht="19.649999999999999" customHeight="1">
      <c r="A26" s="1622"/>
      <c r="B26" s="1623" t="s">
        <v>4576</v>
      </c>
      <c r="C26" s="1624"/>
      <c r="D26" s="1624"/>
      <c r="E26" s="1624"/>
      <c r="F26" s="1624"/>
      <c r="G26" s="1624"/>
      <c r="H26" s="1624"/>
      <c r="I26" s="1624"/>
      <c r="J26" s="1624"/>
    </row>
    <row r="27" spans="1:10" s="1625" customFormat="1" ht="19.649999999999999" customHeight="1">
      <c r="A27" s="1622"/>
      <c r="B27" s="1623" t="s">
        <v>4577</v>
      </c>
      <c r="C27" s="1624"/>
      <c r="D27" s="1624"/>
      <c r="E27" s="1624"/>
      <c r="F27" s="1624"/>
      <c r="G27" s="1624"/>
      <c r="H27" s="1624"/>
      <c r="I27" s="1624"/>
      <c r="J27" s="1624"/>
    </row>
    <row r="28" spans="1:10" s="1625" customFormat="1" ht="19.649999999999999" customHeight="1">
      <c r="A28" s="1622"/>
      <c r="B28" s="1623" t="s">
        <v>4578</v>
      </c>
      <c r="C28" s="1624"/>
      <c r="D28" s="1624"/>
      <c r="E28" s="1624"/>
      <c r="F28" s="1624"/>
      <c r="G28" s="1624"/>
      <c r="H28" s="1624"/>
      <c r="I28" s="1624"/>
      <c r="J28" s="1624"/>
    </row>
    <row r="29" spans="1:10" s="1625" customFormat="1" ht="19.649999999999999" customHeight="1">
      <c r="A29" s="1622"/>
      <c r="B29" s="1626" t="s">
        <v>4579</v>
      </c>
      <c r="C29" s="1624"/>
      <c r="D29" s="1624"/>
      <c r="E29" s="1624"/>
      <c r="F29" s="1624"/>
      <c r="G29" s="1624"/>
      <c r="H29" s="1624"/>
      <c r="I29" s="1624"/>
      <c r="J29" s="1624"/>
    </row>
    <row r="30" spans="1:10" ht="24" customHeight="1">
      <c r="B30" s="1618" t="s">
        <v>4580</v>
      </c>
    </row>
    <row r="31" spans="1:10" ht="72" customHeight="1">
      <c r="B31" s="3249" t="s">
        <v>4581</v>
      </c>
      <c r="C31" s="3249"/>
      <c r="D31" s="3249"/>
      <c r="E31" s="3249"/>
      <c r="F31" s="3249"/>
      <c r="G31" s="3249"/>
      <c r="H31" s="3249"/>
      <c r="I31" s="3249"/>
      <c r="J31" s="3249"/>
    </row>
    <row r="32" spans="1:10" ht="32.25" customHeight="1">
      <c r="A32" s="3250" t="s">
        <v>4582</v>
      </c>
      <c r="B32" s="3250"/>
      <c r="C32" s="3250"/>
      <c r="D32" s="3250"/>
      <c r="E32" s="3250"/>
      <c r="F32" s="3250"/>
      <c r="G32" s="3250"/>
      <c r="H32" s="3250"/>
      <c r="I32" s="3250"/>
      <c r="J32" s="3250"/>
    </row>
    <row r="33" spans="1:10" ht="42.75" customHeight="1">
      <c r="B33" s="3251" t="s">
        <v>4583</v>
      </c>
      <c r="C33" s="3251"/>
      <c r="D33" s="3251"/>
      <c r="E33" s="3251"/>
      <c r="F33" s="3251"/>
      <c r="G33" s="3251"/>
      <c r="H33" s="3251"/>
      <c r="I33" s="3251"/>
      <c r="J33" s="3251"/>
    </row>
    <row r="34" spans="1:10" ht="24.75" customHeight="1">
      <c r="B34" s="1619" t="s">
        <v>4584</v>
      </c>
    </row>
    <row r="35" spans="1:10" ht="19.649999999999999" customHeight="1">
      <c r="B35" s="1627" t="s">
        <v>4585</v>
      </c>
    </row>
    <row r="36" spans="1:10" ht="46.5" customHeight="1">
      <c r="A36" s="3242" t="s">
        <v>4586</v>
      </c>
      <c r="B36" s="3242"/>
      <c r="C36" s="3242"/>
      <c r="D36" s="3242"/>
      <c r="E36" s="3242"/>
      <c r="F36" s="3242"/>
      <c r="G36" s="3242"/>
      <c r="H36" s="3242"/>
      <c r="I36" s="3242"/>
      <c r="J36" s="3242"/>
    </row>
    <row r="37" spans="1:10" s="1631" customFormat="1">
      <c r="A37" s="1628"/>
      <c r="B37" s="1628"/>
      <c r="C37" s="1629" t="s">
        <v>4587</v>
      </c>
      <c r="D37" s="1628"/>
      <c r="E37" s="1628"/>
      <c r="F37" s="1628"/>
      <c r="G37" s="1628"/>
      <c r="H37" s="1630" t="s">
        <v>4588</v>
      </c>
      <c r="I37" s="1628"/>
      <c r="J37" s="1628"/>
    </row>
    <row r="44" spans="1:10" s="1614" customFormat="1" ht="18">
      <c r="A44" s="1632"/>
      <c r="B44" s="1632"/>
      <c r="C44" s="1633" t="s">
        <v>4593</v>
      </c>
      <c r="D44" s="1633"/>
      <c r="E44" s="1633"/>
      <c r="F44" s="1633"/>
      <c r="G44" s="1633"/>
      <c r="H44" s="1633" t="s">
        <v>4494</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93" activePane="bottomLeft" state="frozen"/>
      <selection activeCell="B1" sqref="B1"/>
      <selection pane="bottomLeft" activeCell="F97" sqref="F97"/>
    </sheetView>
  </sheetViews>
  <sheetFormatPr defaultRowHeight="25.2" customHeight="1"/>
  <cols>
    <col min="1" max="1" width="8.81640625" style="1211"/>
    <col min="2" max="2" width="13" style="1788" customWidth="1"/>
    <col min="3" max="3" width="3.90625" style="1215" customWidth="1"/>
    <col min="4" max="4" width="3.90625" style="1789" customWidth="1"/>
    <col min="5" max="5" width="3.90625" style="1790" customWidth="1"/>
    <col min="6" max="6" width="56.54296875" style="1788" bestFit="1" customWidth="1"/>
    <col min="7" max="9" width="8.81640625" style="1300" customWidth="1"/>
    <col min="10" max="10" width="8.90625" style="1787"/>
    <col min="11" max="11" width="16.08984375" style="1786" bestFit="1" customWidth="1"/>
    <col min="12" max="12" width="19.453125" style="1300" customWidth="1"/>
    <col min="13" max="13" width="9.6328125" style="1378" customWidth="1"/>
    <col min="15" max="15" width="8.90625" style="1378"/>
  </cols>
  <sheetData>
    <row r="1" spans="1:15" s="1213" customFormat="1" ht="28.5" customHeight="1">
      <c r="A1" s="2941" t="s">
        <v>4777</v>
      </c>
      <c r="B1" s="2942" t="s">
        <v>2603</v>
      </c>
      <c r="C1" s="2941"/>
      <c r="D1" s="2941"/>
      <c r="E1" s="2943"/>
      <c r="F1" s="2941" t="s">
        <v>4227</v>
      </c>
      <c r="G1" s="2944" t="s">
        <v>2606</v>
      </c>
      <c r="H1" s="2944" t="s">
        <v>4376</v>
      </c>
      <c r="I1" s="2944" t="s">
        <v>4715</v>
      </c>
      <c r="J1" s="2941" t="s">
        <v>1708</v>
      </c>
      <c r="K1" s="2941" t="str">
        <f>COUNTIF(K2:K1048576,1)&amp;" loại VTTB"</f>
        <v>0 loại VTTB</v>
      </c>
      <c r="L1" s="1213" t="s">
        <v>356</v>
      </c>
      <c r="M1" s="1874"/>
      <c r="O1" s="1874"/>
    </row>
    <row r="2" spans="1:15" s="1301" customFormat="1" ht="25.2" customHeight="1">
      <c r="A2" s="2945">
        <f>COUNTIF($K$1:K2,1)</f>
        <v>0</v>
      </c>
      <c r="B2" s="2946"/>
      <c r="C2" s="2947"/>
      <c r="D2" s="2948"/>
      <c r="E2" s="2949"/>
      <c r="F2" s="2950"/>
      <c r="G2" s="2951"/>
      <c r="H2" s="2952"/>
      <c r="I2" s="2952"/>
      <c r="J2" s="2953">
        <f>IFERROR(VLOOKUP(B2,DG!A:F,6,0),3000)</f>
        <v>3000</v>
      </c>
      <c r="K2" s="2954">
        <f>IF(J2&lt;2000,COUNTIF($B$2:B2,B2),0)</f>
        <v>0</v>
      </c>
      <c r="L2" s="2940"/>
      <c r="M2" s="1754"/>
      <c r="N2" s="774"/>
      <c r="O2" s="1754"/>
    </row>
    <row r="3" spans="1:15" ht="25.2" customHeight="1">
      <c r="A3" s="2945">
        <f>COUNTIF($K$1:K3,1)</f>
        <v>0</v>
      </c>
      <c r="B3" s="2946"/>
      <c r="C3" s="2947"/>
      <c r="D3" s="2948"/>
      <c r="E3" s="2949"/>
      <c r="F3" s="2950"/>
      <c r="G3" s="2951"/>
      <c r="H3" s="2952"/>
      <c r="I3" s="2952"/>
      <c r="J3" s="2953">
        <f>IFERROR(VLOOKUP(B3,DG!A:F,6,0),3000)</f>
        <v>3000</v>
      </c>
      <c r="K3" s="2954">
        <f>IF(J3&lt;2000,COUNTIF($B$2:B3,B3),0)</f>
        <v>0</v>
      </c>
      <c r="L3" s="1303"/>
    </row>
    <row r="4" spans="1:15" s="1211" customFormat="1" ht="25.2" customHeight="1">
      <c r="A4" s="2945">
        <f>COUNTIF($K$1:K4,1)</f>
        <v>0</v>
      </c>
      <c r="B4" s="2946"/>
      <c r="C4" s="2947"/>
      <c r="D4" s="2948"/>
      <c r="E4" s="2955"/>
      <c r="F4" s="2946"/>
      <c r="G4" s="2956"/>
      <c r="H4" s="2956"/>
      <c r="I4" s="2957"/>
      <c r="J4" s="2953">
        <f>IFERROR(VLOOKUP(B4,DG!A:F,6,0),3000)</f>
        <v>3000</v>
      </c>
      <c r="K4" s="2954">
        <f>IF(J4&lt;2000,COUNTIF($B$2:B4,B4),0)</f>
        <v>0</v>
      </c>
      <c r="L4" s="1300"/>
      <c r="M4" s="1378"/>
      <c r="O4" s="1378"/>
    </row>
    <row r="5" spans="1:15" s="1211" customFormat="1" ht="25.2" customHeight="1">
      <c r="A5" s="2945">
        <f>COUNTIF($K$1:K5,1)</f>
        <v>0</v>
      </c>
      <c r="B5" s="2960"/>
      <c r="C5" s="2961"/>
      <c r="D5" s="2962"/>
      <c r="E5" s="2974"/>
      <c r="F5" s="2960"/>
      <c r="G5" s="2975"/>
      <c r="H5" s="2975"/>
      <c r="I5" s="2957"/>
      <c r="J5" s="2953">
        <f>IFERROR(VLOOKUP(B5,DG!A:F,6,0),3000)</f>
        <v>3000</v>
      </c>
      <c r="K5" s="2954">
        <f>IF(J5&lt;2000,COUNTIF($B$2:B5,B5),0)</f>
        <v>0</v>
      </c>
      <c r="L5" s="1300"/>
      <c r="M5" s="1378"/>
      <c r="O5" s="1378"/>
    </row>
    <row r="6" spans="1:15" s="1211" customFormat="1" ht="25.2" customHeight="1">
      <c r="A6" s="2945">
        <f>COUNTIF($K$1:K6,1)</f>
        <v>0</v>
      </c>
      <c r="B6" s="2946"/>
      <c r="C6" s="2947"/>
      <c r="D6" s="2948"/>
      <c r="E6" s="2949"/>
      <c r="F6" s="2950"/>
      <c r="G6" s="2951"/>
      <c r="H6" s="2952"/>
      <c r="I6" s="2952"/>
      <c r="J6" s="2953">
        <f>IFERROR(VLOOKUP(B6,DG!A:F,6,0),3000)</f>
        <v>3000</v>
      </c>
      <c r="K6" s="2954">
        <f>IF(J6&lt;2000,COUNTIF($B$2:B6,B6),0)</f>
        <v>0</v>
      </c>
      <c r="L6" s="1303"/>
      <c r="M6" s="1378"/>
      <c r="O6" s="1378"/>
    </row>
    <row r="7" spans="1:15" s="1211" customFormat="1" ht="25.2" customHeight="1">
      <c r="A7" s="2945">
        <f>COUNTIF($K$1:K7,1)</f>
        <v>0</v>
      </c>
      <c r="B7" s="2946"/>
      <c r="C7" s="2947"/>
      <c r="D7" s="2948"/>
      <c r="E7" s="2949"/>
      <c r="F7" s="2950"/>
      <c r="G7" s="2951"/>
      <c r="H7" s="2952"/>
      <c r="I7" s="2952"/>
      <c r="J7" s="2953">
        <f>IFERROR(VLOOKUP(B7,DG!A:F,6,0),3000)</f>
        <v>3000</v>
      </c>
      <c r="K7" s="2954">
        <f>IF(J7&lt;2000,COUNTIF($B$2:B7,B7),0)</f>
        <v>0</v>
      </c>
      <c r="L7" s="1303"/>
      <c r="M7" s="1378"/>
      <c r="O7" s="1378"/>
    </row>
    <row r="8" spans="1:15" s="1211" customFormat="1" ht="25.2" customHeight="1">
      <c r="A8" s="2945">
        <f>COUNTIF($K$1:K8,1)</f>
        <v>0</v>
      </c>
      <c r="B8" s="2946"/>
      <c r="C8" s="2947"/>
      <c r="D8" s="2948"/>
      <c r="E8" s="2949"/>
      <c r="F8" s="2950"/>
      <c r="G8" s="2951"/>
      <c r="H8" s="2952"/>
      <c r="I8" s="2952"/>
      <c r="J8" s="2953">
        <f>IFERROR(VLOOKUP(B8,DG!A:F,6,0),3000)</f>
        <v>3000</v>
      </c>
      <c r="K8" s="2954">
        <f>IF(J8&lt;2000,COUNTIF($B$2:B8,B8),0)</f>
        <v>0</v>
      </c>
      <c r="L8" s="1303"/>
      <c r="M8" s="1378"/>
      <c r="O8" s="1378"/>
    </row>
    <row r="9" spans="1:15" s="1211" customFormat="1" ht="25.2" customHeight="1">
      <c r="A9" s="2945">
        <f>COUNTIF($K$1:K9,1)</f>
        <v>0</v>
      </c>
      <c r="B9" s="2946"/>
      <c r="C9" s="2947"/>
      <c r="D9" s="2948"/>
      <c r="E9" s="2949"/>
      <c r="F9" s="2950"/>
      <c r="G9" s="2951"/>
      <c r="H9" s="2952"/>
      <c r="I9" s="2952"/>
      <c r="J9" s="2953">
        <f>IFERROR(VLOOKUP(B9,DG!A:F,6,0),3000)</f>
        <v>3000</v>
      </c>
      <c r="K9" s="2954">
        <f>IF(J9&lt;2000,COUNTIF($B$2:B9,B9),0)</f>
        <v>0</v>
      </c>
      <c r="L9" s="1303"/>
      <c r="M9" s="1378"/>
      <c r="O9" s="1378"/>
    </row>
    <row r="10" spans="1:15" s="1211" customFormat="1" ht="25.2" customHeight="1">
      <c r="A10" s="2945">
        <f>COUNTIF($K$1:K10,1)</f>
        <v>0</v>
      </c>
      <c r="B10" s="2960"/>
      <c r="C10" s="2961"/>
      <c r="D10" s="2962"/>
      <c r="E10" s="2963"/>
      <c r="F10" s="2964"/>
      <c r="G10" s="2958"/>
      <c r="H10" s="2952"/>
      <c r="I10" s="2952"/>
      <c r="J10" s="2953">
        <f>IFERROR(VLOOKUP(B10,DG!A:F,6,0),3000)</f>
        <v>3000</v>
      </c>
      <c r="K10" s="2954">
        <f>IF(J10&lt;2000,COUNTIF($B$2:B10,B10),0)</f>
        <v>0</v>
      </c>
      <c r="L10" s="1303"/>
      <c r="M10" s="1378"/>
      <c r="O10" s="1378"/>
    </row>
    <row r="11" spans="1:15" s="1211" customFormat="1" ht="25.2" customHeight="1">
      <c r="A11" s="2945">
        <f>COUNTIF($K$1:K11,1)</f>
        <v>0</v>
      </c>
      <c r="B11" s="2946"/>
      <c r="C11" s="2947"/>
      <c r="D11" s="2948"/>
      <c r="E11" s="2949"/>
      <c r="F11" s="2950"/>
      <c r="G11" s="2951"/>
      <c r="H11" s="2952"/>
      <c r="I11" s="2976"/>
      <c r="J11" s="2953">
        <f>IFERROR(VLOOKUP(B11,DG!A:F,6,0),3000)</f>
        <v>3000</v>
      </c>
      <c r="K11" s="2954">
        <f>IF(J11&lt;2000,COUNTIF($B$2:B11,B11),0)</f>
        <v>0</v>
      </c>
      <c r="L11" s="1303"/>
      <c r="M11" s="1378"/>
      <c r="O11" s="1378"/>
    </row>
    <row r="12" spans="1:15" s="1211" customFormat="1" ht="25.2" customHeight="1">
      <c r="A12" s="2945">
        <f>COUNTIF($K$1:K12,1)</f>
        <v>0</v>
      </c>
      <c r="B12" s="2946"/>
      <c r="C12" s="2947"/>
      <c r="D12" s="2948"/>
      <c r="E12" s="2955"/>
      <c r="F12" s="2946"/>
      <c r="G12" s="2956"/>
      <c r="H12" s="2956"/>
      <c r="I12" s="2956"/>
      <c r="J12" s="2953">
        <f>IFERROR(VLOOKUP(B12,DG!A:F,6,0),3000)</f>
        <v>3000</v>
      </c>
      <c r="K12" s="2954">
        <f>IF(J12&lt;2000,COUNTIF($B$2:B12,B12),0)</f>
        <v>0</v>
      </c>
      <c r="L12" s="1300"/>
      <c r="M12" s="1378"/>
      <c r="O12" s="1378"/>
    </row>
    <row r="13" spans="1:15" s="1211" customFormat="1" ht="25.2" customHeight="1">
      <c r="A13" s="2945">
        <f>COUNTIF($K$1:K13,1)</f>
        <v>0</v>
      </c>
      <c r="B13" s="2946"/>
      <c r="C13" s="2947"/>
      <c r="D13" s="2948"/>
      <c r="E13" s="2949"/>
      <c r="F13" s="2950"/>
      <c r="G13" s="2951"/>
      <c r="H13" s="2952"/>
      <c r="I13" s="2952"/>
      <c r="J13" s="2953">
        <f>IFERROR(VLOOKUP(B13,DG!A:F,6,0),3000)</f>
        <v>3000</v>
      </c>
      <c r="K13" s="2954">
        <f>IF(J13&lt;2000,COUNTIF($B$2:B13,B13),0)</f>
        <v>0</v>
      </c>
      <c r="L13" s="1303"/>
      <c r="M13" s="1378"/>
      <c r="O13" s="1378"/>
    </row>
    <row r="14" spans="1:15" s="1211" customFormat="1" ht="25.2" customHeight="1">
      <c r="A14" s="2945">
        <f>COUNTIF($K$1:K14,1)</f>
        <v>0</v>
      </c>
      <c r="B14" s="2946"/>
      <c r="C14" s="2947"/>
      <c r="D14" s="2948"/>
      <c r="E14" s="2955"/>
      <c r="F14" s="2946"/>
      <c r="G14" s="2956"/>
      <c r="H14" s="2956"/>
      <c r="I14" s="2956"/>
      <c r="J14" s="2953">
        <f>IFERROR(VLOOKUP(B14,DG!A:F,6,0),3000)</f>
        <v>3000</v>
      </c>
      <c r="K14" s="2954">
        <f>IF(J14&lt;2000,COUNTIF($B$2:B14,B14),0)</f>
        <v>0</v>
      </c>
      <c r="L14" s="1300"/>
      <c r="M14" s="1378"/>
      <c r="O14" s="1378"/>
    </row>
    <row r="15" spans="1:15" s="1211" customFormat="1" ht="25.2" customHeight="1">
      <c r="A15" s="2945">
        <f>COUNTIF($K$1:K15,1)</f>
        <v>0</v>
      </c>
      <c r="B15" s="2960"/>
      <c r="C15" s="2961"/>
      <c r="D15" s="2962"/>
      <c r="E15" s="2974"/>
      <c r="F15" s="2960"/>
      <c r="G15" s="2975"/>
      <c r="H15" s="2975"/>
      <c r="I15" s="2956"/>
      <c r="J15" s="2953">
        <f>IFERROR(VLOOKUP(B15,DG!A:F,6,0),3000)</f>
        <v>3000</v>
      </c>
      <c r="K15" s="2954">
        <f>IF(J15&lt;2000,COUNTIF($B$2:B15,B15),0)</f>
        <v>0</v>
      </c>
      <c r="L15" s="1300"/>
      <c r="M15" s="1378"/>
      <c r="O15" s="1378"/>
    </row>
    <row r="16" spans="1:15" s="1211" customFormat="1" ht="25.2" customHeight="1">
      <c r="A16" s="2945">
        <f>COUNTIF($K$1:K16,1)</f>
        <v>0</v>
      </c>
      <c r="B16" s="2946"/>
      <c r="C16" s="2947"/>
      <c r="D16" s="2948"/>
      <c r="E16" s="2949"/>
      <c r="F16" s="2950"/>
      <c r="G16" s="2951"/>
      <c r="H16" s="2952"/>
      <c r="I16" s="2952"/>
      <c r="J16" s="2953">
        <f>IFERROR(VLOOKUP(B16,DG!A:F,6,0),3000)</f>
        <v>3000</v>
      </c>
      <c r="K16" s="2954">
        <f>IF(J16&lt;2000,COUNTIF($B$2:B16,B16),0)</f>
        <v>0</v>
      </c>
      <c r="L16" s="1303"/>
      <c r="M16" s="1378"/>
      <c r="O16" s="1378"/>
    </row>
    <row r="17" spans="1:15" s="1211" customFormat="1" ht="25.2" customHeight="1">
      <c r="A17" s="2945">
        <f>COUNTIF($K$1:K17,1)</f>
        <v>0</v>
      </c>
      <c r="B17" s="2946"/>
      <c r="C17" s="2947"/>
      <c r="D17" s="2948"/>
      <c r="E17" s="2949"/>
      <c r="F17" s="2950"/>
      <c r="G17" s="2951"/>
      <c r="H17" s="2952"/>
      <c r="I17" s="2952"/>
      <c r="J17" s="2953">
        <f>IFERROR(VLOOKUP(B17,DG!A:F,6,0),3000)</f>
        <v>3000</v>
      </c>
      <c r="K17" s="2954">
        <f>IF(J17&lt;2000,COUNTIF($B$2:B17,B17),0)</f>
        <v>0</v>
      </c>
      <c r="L17" s="1303"/>
      <c r="M17" s="1378"/>
      <c r="O17" s="1378"/>
    </row>
    <row r="18" spans="1:15" s="1211" customFormat="1" ht="25.2" customHeight="1">
      <c r="A18" s="2945">
        <f>COUNTIF($K$1:K18,1)</f>
        <v>0</v>
      </c>
      <c r="B18" s="2946"/>
      <c r="C18" s="2947"/>
      <c r="D18" s="2948"/>
      <c r="E18" s="2949"/>
      <c r="F18" s="2950"/>
      <c r="G18" s="2951"/>
      <c r="H18" s="2952"/>
      <c r="I18" s="2952"/>
      <c r="J18" s="2953">
        <f>IFERROR(VLOOKUP(B18,DG!A:F,6,0),3000)</f>
        <v>3000</v>
      </c>
      <c r="K18" s="2954">
        <f>IF(J18&lt;2000,COUNTIF($B$2:B18,B18),0)</f>
        <v>0</v>
      </c>
      <c r="L18" s="1303"/>
      <c r="M18" s="1378"/>
      <c r="O18" s="1378"/>
    </row>
    <row r="19" spans="1:15" s="1211" customFormat="1" ht="25.2" customHeight="1">
      <c r="A19" s="2945">
        <f>COUNTIF($K$1:K19,1)</f>
        <v>0</v>
      </c>
      <c r="B19" s="2946"/>
      <c r="C19" s="2947"/>
      <c r="D19" s="2948"/>
      <c r="E19" s="2955"/>
      <c r="F19" s="2946"/>
      <c r="G19" s="2956"/>
      <c r="H19" s="2956"/>
      <c r="I19" s="2956"/>
      <c r="J19" s="2953">
        <f>IFERROR(VLOOKUP(B19,DG!A:F,6,0),3000)</f>
        <v>3000</v>
      </c>
      <c r="K19" s="2954">
        <f>IF(J19&lt;2000,COUNTIF($B$2:B19,B19),0)</f>
        <v>0</v>
      </c>
      <c r="L19" s="1300"/>
      <c r="M19" s="1378"/>
      <c r="O19" s="1378"/>
    </row>
    <row r="20" spans="1:15" s="1211" customFormat="1" ht="25.2" customHeight="1">
      <c r="A20" s="2945">
        <f>COUNTIF($K$1:K20,1)</f>
        <v>0</v>
      </c>
      <c r="B20" s="2946"/>
      <c r="C20" s="2947"/>
      <c r="D20" s="2948"/>
      <c r="E20" s="2949"/>
      <c r="F20" s="2950"/>
      <c r="G20" s="2951"/>
      <c r="H20" s="2952"/>
      <c r="I20" s="2952"/>
      <c r="J20" s="2953">
        <f>IFERROR(VLOOKUP(B20,DG!A:F,6,0),3000)</f>
        <v>3000</v>
      </c>
      <c r="K20" s="2954">
        <f>IF(J20&lt;2000,COUNTIF($B$2:B20,B20),0)</f>
        <v>0</v>
      </c>
      <c r="L20" s="1303"/>
      <c r="M20" s="1378"/>
      <c r="O20" s="1378"/>
    </row>
    <row r="21" spans="1:15" s="1211" customFormat="1" ht="25.2" customHeight="1">
      <c r="A21" s="2945">
        <f>COUNTIF($K$1:K21,1)</f>
        <v>0</v>
      </c>
      <c r="B21" s="2946"/>
      <c r="C21" s="2947"/>
      <c r="D21" s="2948"/>
      <c r="E21" s="2949"/>
      <c r="F21" s="2950"/>
      <c r="G21" s="2958"/>
      <c r="H21" s="2959"/>
      <c r="I21" s="2952"/>
      <c r="J21" s="2953">
        <f>IFERROR(VLOOKUP(B21,DG!A:F,6,0),3000)</f>
        <v>3000</v>
      </c>
      <c r="K21" s="2954">
        <f>IF(J21&lt;2000,COUNTIF($B$2:B21,B21),0)</f>
        <v>0</v>
      </c>
      <c r="L21" s="1303"/>
      <c r="M21" s="1378"/>
      <c r="O21" s="1378"/>
    </row>
    <row r="22" spans="1:15" s="1211" customFormat="1" ht="25.2" customHeight="1">
      <c r="A22" s="2945">
        <f>COUNTIF($K$1:K22,1)</f>
        <v>0</v>
      </c>
      <c r="B22" s="2946"/>
      <c r="C22" s="2947"/>
      <c r="D22" s="2948"/>
      <c r="E22" s="2949"/>
      <c r="F22" s="2950"/>
      <c r="G22" s="2951"/>
      <c r="H22" s="2952"/>
      <c r="I22" s="2952"/>
      <c r="J22" s="2953">
        <f>IFERROR(VLOOKUP(B22,DG!A:F,6,0),3000)</f>
        <v>3000</v>
      </c>
      <c r="K22" s="2954">
        <f>IF(J22&lt;2000,COUNTIF($B$2:B22,B22),0)</f>
        <v>0</v>
      </c>
      <c r="L22" s="1303"/>
      <c r="M22" s="1378"/>
      <c r="O22" s="1378"/>
    </row>
    <row r="23" spans="1:15" s="1211" customFormat="1" ht="25.2" customHeight="1">
      <c r="A23" s="2945">
        <f>COUNTIF($K$1:K23,1)</f>
        <v>0</v>
      </c>
      <c r="B23" s="2965"/>
      <c r="C23" s="2966"/>
      <c r="D23" s="2967"/>
      <c r="E23" s="2971"/>
      <c r="F23" s="2972"/>
      <c r="G23" s="2969"/>
      <c r="H23" s="2970"/>
      <c r="I23" s="2970"/>
      <c r="J23" s="2953">
        <f>IFERROR(VLOOKUP(B23,DG!A:F,6,0),3000)</f>
        <v>3000</v>
      </c>
      <c r="K23" s="2954">
        <f>IF(J23&lt;2000,COUNTIF($B$2:B23,B23),0)</f>
        <v>0</v>
      </c>
      <c r="L23" s="1303"/>
      <c r="M23" s="1378"/>
      <c r="O23" s="1378"/>
    </row>
    <row r="24" spans="1:15" s="1211" customFormat="1" ht="25.2" customHeight="1">
      <c r="A24" s="2945">
        <f>COUNTIF($K$1:K24,1)</f>
        <v>0</v>
      </c>
      <c r="B24" s="2946"/>
      <c r="C24" s="2947"/>
      <c r="D24" s="2948"/>
      <c r="E24" s="2955"/>
      <c r="F24" s="2946"/>
      <c r="G24" s="2956"/>
      <c r="H24" s="2956"/>
      <c r="I24" s="2956"/>
      <c r="J24" s="2953">
        <f>IFERROR(VLOOKUP(B24,DG!A:F,6,0),3000)</f>
        <v>3000</v>
      </c>
      <c r="K24" s="2954">
        <f>IF(J24&lt;2000,COUNTIF($B$2:B24,B24),0)</f>
        <v>0</v>
      </c>
      <c r="L24" s="1300"/>
      <c r="M24" s="1378"/>
      <c r="O24" s="1378"/>
    </row>
    <row r="25" spans="1:15" s="1211" customFormat="1" ht="25.2" customHeight="1">
      <c r="A25" s="2945">
        <f>COUNTIF($K$1:K25,1)</f>
        <v>0</v>
      </c>
      <c r="B25" s="2946"/>
      <c r="C25" s="2947"/>
      <c r="D25" s="2948"/>
      <c r="E25" s="2955"/>
      <c r="F25" s="2946"/>
      <c r="G25" s="2956"/>
      <c r="H25" s="2956"/>
      <c r="I25" s="2956"/>
      <c r="J25" s="2953">
        <f>IFERROR(VLOOKUP(B25,DG!A:F,6,0),3000)</f>
        <v>3000</v>
      </c>
      <c r="K25" s="2954">
        <f>IF(J25&lt;2000,COUNTIF($B$2:B25,B25),0)</f>
        <v>0</v>
      </c>
      <c r="L25" s="1300"/>
      <c r="M25" s="1378"/>
      <c r="O25" s="1378"/>
    </row>
    <row r="26" spans="1:15" s="1211" customFormat="1" ht="25.2" customHeight="1">
      <c r="A26" s="2945">
        <f>COUNTIF($K$1:K26,1)</f>
        <v>0</v>
      </c>
      <c r="B26" s="2946"/>
      <c r="C26" s="2947"/>
      <c r="D26" s="2948"/>
      <c r="E26" s="2949"/>
      <c r="F26" s="2950"/>
      <c r="G26" s="2958"/>
      <c r="H26" s="2959"/>
      <c r="I26" s="2973"/>
      <c r="J26" s="2953">
        <f>IFERROR(VLOOKUP(B26,DG!A:F,6,0),3000)</f>
        <v>3000</v>
      </c>
      <c r="K26" s="2954">
        <f>IF(J26&lt;2000,COUNTIF($B$2:B26,B26),0)</f>
        <v>0</v>
      </c>
      <c r="L26" s="1303"/>
      <c r="M26" s="1378"/>
      <c r="O26" s="1378"/>
    </row>
    <row r="27" spans="1:15" s="1211" customFormat="1" ht="25.2" customHeight="1">
      <c r="A27" s="2945">
        <f>COUNTIF($K$1:K27,1)</f>
        <v>0</v>
      </c>
      <c r="B27" s="2946"/>
      <c r="C27" s="2947"/>
      <c r="D27" s="2948"/>
      <c r="E27" s="2955"/>
      <c r="F27" s="2946"/>
      <c r="G27" s="2956"/>
      <c r="H27" s="2956"/>
      <c r="I27" s="2956"/>
      <c r="J27" s="2953">
        <f>IFERROR(VLOOKUP(B27,DG!A:F,6,0),3000)</f>
        <v>3000</v>
      </c>
      <c r="K27" s="2954">
        <f>IF(J27&lt;2000,COUNTIF($B$2:B27,B27),0)</f>
        <v>0</v>
      </c>
      <c r="L27" s="1300"/>
      <c r="M27" s="1378"/>
      <c r="O27" s="1378"/>
    </row>
    <row r="28" spans="1:15" s="1211" customFormat="1" ht="25.2" customHeight="1">
      <c r="A28" s="2945">
        <f>COUNTIF($K$1:K28,1)</f>
        <v>0</v>
      </c>
      <c r="B28" s="2946"/>
      <c r="C28" s="2947"/>
      <c r="D28" s="2948"/>
      <c r="E28" s="2949"/>
      <c r="F28" s="2950"/>
      <c r="G28" s="2951"/>
      <c r="H28" s="2952"/>
      <c r="I28" s="2952"/>
      <c r="J28" s="2953">
        <f>IFERROR(VLOOKUP(B28,DG!A:F,6,0),3000)</f>
        <v>3000</v>
      </c>
      <c r="K28" s="2954">
        <f>IF(J28&lt;2000,COUNTIF($B$2:B28,B28),0)</f>
        <v>0</v>
      </c>
      <c r="L28" s="1303"/>
      <c r="M28" s="1378"/>
      <c r="O28" s="1378"/>
    </row>
    <row r="29" spans="1:15" s="1211" customFormat="1" ht="25.2" customHeight="1">
      <c r="A29" s="2945">
        <f>COUNTIF($K$1:K29,1)</f>
        <v>0</v>
      </c>
      <c r="B29" s="2960"/>
      <c r="C29" s="2961"/>
      <c r="D29" s="2962"/>
      <c r="E29" s="2974"/>
      <c r="F29" s="2960"/>
      <c r="G29" s="2975"/>
      <c r="H29" s="2975"/>
      <c r="I29" s="2957"/>
      <c r="J29" s="2953">
        <f>IFERROR(VLOOKUP(B29,DG!A:F,6,0),3000)</f>
        <v>3000</v>
      </c>
      <c r="K29" s="2954">
        <f>IF(J29&lt;2000,COUNTIF($B$2:B29,B29),0)</f>
        <v>0</v>
      </c>
      <c r="L29" s="1300"/>
      <c r="M29" s="1378"/>
      <c r="O29" s="1378"/>
    </row>
    <row r="30" spans="1:15" s="1211" customFormat="1" ht="25.2" customHeight="1">
      <c r="A30" s="2945">
        <f>COUNTIF($K$1:K30,1)</f>
        <v>0</v>
      </c>
      <c r="B30" s="2946"/>
      <c r="C30" s="2947"/>
      <c r="D30" s="2948"/>
      <c r="E30" s="2949"/>
      <c r="F30" s="2950"/>
      <c r="G30" s="2951"/>
      <c r="H30" s="2952"/>
      <c r="I30" s="2952"/>
      <c r="J30" s="2953">
        <f>IFERROR(VLOOKUP(B30,DG!A:F,6,0),3000)</f>
        <v>3000</v>
      </c>
      <c r="K30" s="2954">
        <f>IF(J30&lt;2000,COUNTIF($B$2:B30,B30),0)</f>
        <v>0</v>
      </c>
      <c r="L30" s="1303"/>
      <c r="M30" s="1378"/>
      <c r="O30" s="1378"/>
    </row>
    <row r="31" spans="1:15" s="1211" customFormat="1" ht="25.2" customHeight="1">
      <c r="A31" s="2945">
        <f>COUNTIF($K$1:K31,1)</f>
        <v>0</v>
      </c>
      <c r="B31" s="2946"/>
      <c r="C31" s="2947"/>
      <c r="D31" s="2948"/>
      <c r="E31" s="2949"/>
      <c r="F31" s="2950"/>
      <c r="G31" s="2951"/>
      <c r="H31" s="2952"/>
      <c r="I31" s="2952"/>
      <c r="J31" s="2953">
        <f>IFERROR(VLOOKUP(B31,DG!A:F,6,0),3000)</f>
        <v>3000</v>
      </c>
      <c r="K31" s="2954">
        <f>IF(J31&lt;2000,COUNTIF($B$2:B31,B31),0)</f>
        <v>0</v>
      </c>
      <c r="L31" s="1303"/>
      <c r="M31" s="1378"/>
      <c r="O31" s="1378"/>
    </row>
    <row r="32" spans="1:15" s="1211" customFormat="1" ht="25.2" customHeight="1">
      <c r="A32" s="2945">
        <f>COUNTIF($K$1:K32,1)</f>
        <v>0</v>
      </c>
      <c r="B32" s="2946"/>
      <c r="C32" s="2947"/>
      <c r="D32" s="2948"/>
      <c r="E32" s="2949"/>
      <c r="F32" s="2950"/>
      <c r="G32" s="2951"/>
      <c r="H32" s="2952"/>
      <c r="I32" s="2952"/>
      <c r="J32" s="2953">
        <f>IFERROR(VLOOKUP(B32,DG!A:F,6,0),3000)</f>
        <v>3000</v>
      </c>
      <c r="K32" s="2954">
        <f>IF(J32&lt;2000,COUNTIF($B$2:B32,B32),0)</f>
        <v>0</v>
      </c>
      <c r="L32" s="1303"/>
      <c r="M32" s="1378"/>
      <c r="O32" s="1378"/>
    </row>
    <row r="33" spans="1:15" s="1211" customFormat="1" ht="25.2" customHeight="1">
      <c r="A33" s="2945">
        <f>COUNTIF($K$1:K33,1)</f>
        <v>0</v>
      </c>
      <c r="B33" s="2960"/>
      <c r="C33" s="2961"/>
      <c r="D33" s="2962"/>
      <c r="E33" s="2963"/>
      <c r="F33" s="2964"/>
      <c r="G33" s="2958"/>
      <c r="H33" s="2959"/>
      <c r="I33" s="2952"/>
      <c r="J33" s="2953">
        <f>IFERROR(VLOOKUP(B33,DG!A:F,6,0),3000)</f>
        <v>3000</v>
      </c>
      <c r="K33" s="2954">
        <f>IF(J33&lt;2000,COUNTIF($B$2:B33,B33),0)</f>
        <v>0</v>
      </c>
      <c r="L33" s="1303"/>
      <c r="M33" s="1378"/>
      <c r="O33" s="1378"/>
    </row>
    <row r="34" spans="1:15" s="1211" customFormat="1" ht="25.2" customHeight="1">
      <c r="A34" s="2945">
        <f>COUNTIF($K$1:K34,1)</f>
        <v>0</v>
      </c>
      <c r="B34" s="2960"/>
      <c r="C34" s="2961"/>
      <c r="D34" s="2962"/>
      <c r="E34" s="2963"/>
      <c r="F34" s="2964"/>
      <c r="G34" s="2958"/>
      <c r="H34" s="2952"/>
      <c r="I34" s="2952"/>
      <c r="J34" s="2953">
        <f>IFERROR(VLOOKUP(B34,DG!A:F,6,0),3000)</f>
        <v>3000</v>
      </c>
      <c r="K34" s="2954">
        <f>IF(J34&lt;2000,COUNTIF($B$2:B34,B34),0)</f>
        <v>0</v>
      </c>
      <c r="L34" s="1303"/>
      <c r="M34" s="1378"/>
      <c r="O34" s="1378"/>
    </row>
    <row r="35" spans="1:15" s="1211" customFormat="1" ht="25.2" customHeight="1">
      <c r="A35" s="2945">
        <f>COUNTIF($K$1:K35,1)</f>
        <v>0</v>
      </c>
      <c r="B35" s="2946"/>
      <c r="C35" s="2947"/>
      <c r="D35" s="2948"/>
      <c r="E35" s="2949"/>
      <c r="F35" s="2950"/>
      <c r="G35" s="2951"/>
      <c r="H35" s="2952"/>
      <c r="I35" s="2952"/>
      <c r="J35" s="2953">
        <f>IFERROR(VLOOKUP(B35,DG!A:F,6,0),3000)</f>
        <v>3000</v>
      </c>
      <c r="K35" s="2954">
        <f>IF(J35&lt;2000,COUNTIF($B$2:B35,B35),0)</f>
        <v>0</v>
      </c>
      <c r="L35" s="1303"/>
      <c r="M35" s="1378"/>
      <c r="O35" s="1378"/>
    </row>
    <row r="36" spans="1:15" s="1211" customFormat="1" ht="25.2" customHeight="1">
      <c r="A36" s="2945">
        <f>COUNTIF($K$1:K36,1)</f>
        <v>0</v>
      </c>
      <c r="B36" s="2946"/>
      <c r="C36" s="2947"/>
      <c r="D36" s="2948"/>
      <c r="E36" s="2949"/>
      <c r="F36" s="2950"/>
      <c r="G36" s="2951"/>
      <c r="H36" s="2952"/>
      <c r="I36" s="2952"/>
      <c r="J36" s="2953">
        <f>IFERROR(VLOOKUP(B36,DG!A:F,6,0),3000)</f>
        <v>3000</v>
      </c>
      <c r="K36" s="2954">
        <f>IF(J36&lt;2000,COUNTIF($B$2:B36,B36),0)</f>
        <v>0</v>
      </c>
      <c r="L36" s="1303"/>
      <c r="M36" s="1378"/>
      <c r="O36" s="1378"/>
    </row>
    <row r="37" spans="1:15" s="1211" customFormat="1" ht="25.2" customHeight="1">
      <c r="A37" s="2945">
        <f>COUNTIF($K$1:K37,1)</f>
        <v>0</v>
      </c>
      <c r="B37" s="2946"/>
      <c r="C37" s="2947"/>
      <c r="D37" s="2948"/>
      <c r="E37" s="2949"/>
      <c r="F37" s="2950"/>
      <c r="G37" s="2951"/>
      <c r="H37" s="2952"/>
      <c r="I37" s="2952"/>
      <c r="J37" s="2953">
        <f>IFERROR(VLOOKUP(B37,DG!A:F,6,0),3000)</f>
        <v>3000</v>
      </c>
      <c r="K37" s="2954">
        <f>IF(J37&lt;2000,COUNTIF($B$2:B37,B37),0)</f>
        <v>0</v>
      </c>
      <c r="L37" s="1791"/>
      <c r="M37" s="1378"/>
      <c r="O37" s="1378"/>
    </row>
    <row r="38" spans="1:15" s="1211" customFormat="1" ht="25.2" customHeight="1">
      <c r="A38" s="2945">
        <f>COUNTIF($K$1:K38,1)</f>
        <v>0</v>
      </c>
      <c r="B38" s="2946"/>
      <c r="C38" s="2947"/>
      <c r="D38" s="2948"/>
      <c r="E38" s="2949"/>
      <c r="F38" s="2950"/>
      <c r="G38" s="2951"/>
      <c r="H38" s="2952"/>
      <c r="I38" s="2952"/>
      <c r="J38" s="2953">
        <f>IFERROR(VLOOKUP(B38,DG!A:F,6,0),3000)</f>
        <v>3000</v>
      </c>
      <c r="K38" s="2954">
        <f>IF(J38&lt;2000,COUNTIF($B$2:B38,B38),0)</f>
        <v>0</v>
      </c>
      <c r="L38" s="1303"/>
      <c r="M38" s="1378"/>
      <c r="O38" s="1378"/>
    </row>
    <row r="39" spans="1:15" s="1211" customFormat="1" ht="25.2" customHeight="1">
      <c r="A39" s="2945">
        <f>COUNTIF($K$1:K39,1)</f>
        <v>0</v>
      </c>
      <c r="B39" s="2946"/>
      <c r="C39" s="2947"/>
      <c r="D39" s="2948"/>
      <c r="E39" s="2949"/>
      <c r="F39" s="2950"/>
      <c r="G39" s="2951"/>
      <c r="H39" s="2952"/>
      <c r="I39" s="2952"/>
      <c r="J39" s="2953">
        <f>IFERROR(VLOOKUP(B39,DG!A:F,6,0),3000)</f>
        <v>3000</v>
      </c>
      <c r="K39" s="2954">
        <f>IF(J39&lt;2000,COUNTIF($B$2:B39,B39),0)</f>
        <v>0</v>
      </c>
      <c r="L39" s="1303"/>
      <c r="M39" s="1378"/>
      <c r="O39" s="1378"/>
    </row>
    <row r="40" spans="1:15" s="1211" customFormat="1" ht="25.2" customHeight="1">
      <c r="A40" s="2945">
        <f>COUNTIF($K$1:K40,1)</f>
        <v>0</v>
      </c>
      <c r="B40" s="2946"/>
      <c r="C40" s="2947"/>
      <c r="D40" s="2948"/>
      <c r="E40" s="2949"/>
      <c r="F40" s="2950"/>
      <c r="G40" s="2951"/>
      <c r="H40" s="2952"/>
      <c r="I40" s="2952"/>
      <c r="J40" s="2953">
        <f>IFERROR(VLOOKUP(B40,DG!A:F,6,0),3000)</f>
        <v>3000</v>
      </c>
      <c r="K40" s="2954">
        <f>IF(J40&lt;2000,COUNTIF($B$2:B40,B40),0)</f>
        <v>0</v>
      </c>
      <c r="L40" s="1303"/>
      <c r="M40" s="1378"/>
      <c r="O40" s="1378"/>
    </row>
    <row r="41" spans="1:15" s="1211" customFormat="1" ht="25.2" customHeight="1">
      <c r="A41" s="2945">
        <f>COUNTIF($K$1:K41,1)</f>
        <v>0</v>
      </c>
      <c r="B41" s="2960"/>
      <c r="C41" s="2961"/>
      <c r="D41" s="2962"/>
      <c r="E41" s="2974"/>
      <c r="F41" s="2960"/>
      <c r="G41" s="2975"/>
      <c r="H41" s="2975"/>
      <c r="I41" s="2956"/>
      <c r="J41" s="2953">
        <f>IFERROR(VLOOKUP(B41,DG!A:F,6,0),3000)</f>
        <v>3000</v>
      </c>
      <c r="K41" s="2954">
        <f>IF(J41&lt;2000,COUNTIF($B$2:B41,B41),0)</f>
        <v>0</v>
      </c>
      <c r="L41" s="1300"/>
      <c r="M41" s="1378"/>
      <c r="O41" s="1378"/>
    </row>
    <row r="42" spans="1:15" s="1211" customFormat="1" ht="25.2" customHeight="1">
      <c r="A42" s="2945">
        <f>COUNTIF($K$1:K42,1)</f>
        <v>0</v>
      </c>
      <c r="B42" s="2946"/>
      <c r="C42" s="2947"/>
      <c r="D42" s="2948"/>
      <c r="E42" s="2949"/>
      <c r="F42" s="2950"/>
      <c r="G42" s="2951"/>
      <c r="H42" s="2952"/>
      <c r="I42" s="2952"/>
      <c r="J42" s="2953">
        <f>IFERROR(VLOOKUP(B42,DG!A:F,6,0),3000)</f>
        <v>3000</v>
      </c>
      <c r="K42" s="2954">
        <f>IF(J42&lt;2000,COUNTIF($B$2:B42,B42),0)</f>
        <v>0</v>
      </c>
      <c r="L42" s="1303"/>
      <c r="M42" s="1378"/>
      <c r="O42" s="1378"/>
    </row>
    <row r="43" spans="1:15" s="1211" customFormat="1" ht="25.2" customHeight="1">
      <c r="A43" s="2945">
        <f>COUNTIF($K$1:K43,1)</f>
        <v>0</v>
      </c>
      <c r="B43" s="2946"/>
      <c r="C43" s="2947"/>
      <c r="D43" s="2948"/>
      <c r="E43" s="2949"/>
      <c r="F43" s="2950"/>
      <c r="G43" s="2951"/>
      <c r="H43" s="2952"/>
      <c r="I43" s="2952"/>
      <c r="J43" s="2953">
        <f>IFERROR(VLOOKUP(B43,DG!A:F,6,0),3000)</f>
        <v>3000</v>
      </c>
      <c r="K43" s="2954">
        <f>IF(J43&lt;2000,COUNTIF($B$2:B43,B43),0)</f>
        <v>0</v>
      </c>
      <c r="L43" s="1303"/>
      <c r="M43" s="1378"/>
      <c r="O43" s="1378"/>
    </row>
    <row r="44" spans="1:15" s="1211" customFormat="1" ht="25.2" customHeight="1">
      <c r="A44" s="2945">
        <f>COUNTIF($K$1:K44,1)</f>
        <v>0</v>
      </c>
      <c r="B44" s="2946"/>
      <c r="C44" s="2947"/>
      <c r="D44" s="2948"/>
      <c r="E44" s="2949"/>
      <c r="F44" s="2950"/>
      <c r="G44" s="2951"/>
      <c r="H44" s="2952"/>
      <c r="I44" s="2952"/>
      <c r="J44" s="2953">
        <f>IFERROR(VLOOKUP(B44,DG!A:F,6,0),3000)</f>
        <v>3000</v>
      </c>
      <c r="K44" s="2954">
        <f>IF(J44&lt;2000,COUNTIF($B$2:B44,B44),0)</f>
        <v>0</v>
      </c>
      <c r="L44" s="1303"/>
      <c r="M44" s="1378"/>
      <c r="O44" s="1378"/>
    </row>
    <row r="45" spans="1:15" s="1211" customFormat="1" ht="25.2" customHeight="1">
      <c r="A45" s="2945">
        <f>COUNTIF($K$1:K45,1)</f>
        <v>0</v>
      </c>
      <c r="B45" s="2946"/>
      <c r="C45" s="2947"/>
      <c r="D45" s="2948"/>
      <c r="E45" s="2949"/>
      <c r="F45" s="2950"/>
      <c r="G45" s="2951"/>
      <c r="H45" s="2952"/>
      <c r="I45" s="2952"/>
      <c r="J45" s="2953">
        <f>IFERROR(VLOOKUP(B45,DG!A:F,6,0),3000)</f>
        <v>3000</v>
      </c>
      <c r="K45" s="2954">
        <f>IF(J45&lt;2000,COUNTIF($B$2:B45,B45),0)</f>
        <v>0</v>
      </c>
      <c r="L45" s="1303"/>
      <c r="M45" s="1792"/>
      <c r="N45" s="1793"/>
      <c r="O45" s="1792"/>
    </row>
    <row r="46" spans="1:15" s="1211" customFormat="1" ht="25.2" customHeight="1">
      <c r="A46" s="2945">
        <f>COUNTIF($K$1:K46,1)</f>
        <v>0</v>
      </c>
      <c r="B46" s="2965"/>
      <c r="C46" s="2966"/>
      <c r="D46" s="2967"/>
      <c r="E46" s="2968"/>
      <c r="F46" s="2965"/>
      <c r="G46" s="2957"/>
      <c r="H46" s="2957"/>
      <c r="I46" s="2957"/>
      <c r="J46" s="2953">
        <f>IFERROR(VLOOKUP(B46,DG!A:F,6,0),3000)</f>
        <v>3000</v>
      </c>
      <c r="K46" s="2954">
        <f>IF(J46&lt;2000,COUNTIF($B$2:B46,B46),0)</f>
        <v>0</v>
      </c>
      <c r="L46" s="1300"/>
      <c r="M46" s="1378"/>
      <c r="O46" s="1378"/>
    </row>
    <row r="47" spans="1:15" s="1211" customFormat="1" ht="25.2" customHeight="1">
      <c r="A47" s="2945">
        <f>COUNTIF($K$1:K47,1)</f>
        <v>0</v>
      </c>
      <c r="B47" s="2946"/>
      <c r="C47" s="2947"/>
      <c r="D47" s="2948"/>
      <c r="E47" s="2949"/>
      <c r="F47" s="2950"/>
      <c r="G47" s="2951"/>
      <c r="H47" s="2952"/>
      <c r="I47" s="2952"/>
      <c r="J47" s="2953">
        <f>IFERROR(VLOOKUP(B47,DG!A:F,6,0),3000)</f>
        <v>3000</v>
      </c>
      <c r="K47" s="2954">
        <f>IF(J47&lt;2000,COUNTIF($B$2:B47,B47),0)</f>
        <v>0</v>
      </c>
      <c r="L47" s="1303"/>
      <c r="M47" s="1378"/>
      <c r="O47" s="1378"/>
    </row>
    <row r="48" spans="1:15" s="1211" customFormat="1" ht="25.2" customHeight="1">
      <c r="A48" s="2945">
        <f>COUNTIF($K$1:K48,1)</f>
        <v>0</v>
      </c>
      <c r="B48" s="2960"/>
      <c r="C48" s="2961"/>
      <c r="D48" s="2962"/>
      <c r="E48" s="2974"/>
      <c r="F48" s="2960"/>
      <c r="G48" s="2975"/>
      <c r="H48" s="2975"/>
      <c r="I48" s="2956"/>
      <c r="J48" s="2953">
        <f>IFERROR(VLOOKUP(B48,DG!A:F,6,0),3000)</f>
        <v>3000</v>
      </c>
      <c r="K48" s="2954">
        <f>IF(J48&lt;2000,COUNTIF($B$2:B48,B48),0)</f>
        <v>0</v>
      </c>
      <c r="L48" s="1300"/>
      <c r="M48" s="1378"/>
      <c r="O48" s="1378"/>
    </row>
    <row r="49" spans="1:15" s="1211" customFormat="1" ht="25.2" customHeight="1">
      <c r="A49" s="2945">
        <f>COUNTIF($K$1:K49,1)</f>
        <v>0</v>
      </c>
      <c r="B49" s="2946"/>
      <c r="C49" s="2947"/>
      <c r="D49" s="2948"/>
      <c r="E49" s="2949"/>
      <c r="F49" s="2950"/>
      <c r="G49" s="2951"/>
      <c r="H49" s="2952"/>
      <c r="I49" s="2952"/>
      <c r="J49" s="2953">
        <f>IFERROR(VLOOKUP(B49,DG!A:F,6,0),3000)</f>
        <v>3000</v>
      </c>
      <c r="K49" s="2954">
        <f>IF(J49&lt;2000,COUNTIF($B$2:B49,B49),0)</f>
        <v>0</v>
      </c>
      <c r="L49" s="1303"/>
      <c r="M49" s="1378"/>
      <c r="O49" s="1378"/>
    </row>
    <row r="50" spans="1:15" s="1211" customFormat="1" ht="25.2" customHeight="1">
      <c r="A50" s="2945">
        <f>COUNTIF($K$1:K50,1)</f>
        <v>0</v>
      </c>
      <c r="B50" s="2946"/>
      <c r="C50" s="2947"/>
      <c r="D50" s="2948"/>
      <c r="E50" s="2949"/>
      <c r="F50" s="2950"/>
      <c r="G50" s="2951"/>
      <c r="H50" s="2952"/>
      <c r="I50" s="2952"/>
      <c r="J50" s="2953">
        <f>IFERROR(VLOOKUP(B50,DG!A:F,6,0),3000)</f>
        <v>3000</v>
      </c>
      <c r="K50" s="2954">
        <f>IF(J50&lt;2000,COUNTIF($B$2:B50,B50),0)</f>
        <v>0</v>
      </c>
      <c r="L50" s="1791"/>
      <c r="M50" s="1378"/>
      <c r="O50" s="1378"/>
    </row>
    <row r="51" spans="1:15" s="1211" customFormat="1" ht="25.2" customHeight="1">
      <c r="A51" s="2945">
        <f>COUNTIF($K$1:K51,1)</f>
        <v>0</v>
      </c>
      <c r="B51" s="2946"/>
      <c r="C51" s="2947"/>
      <c r="D51" s="2948"/>
      <c r="E51" s="2949"/>
      <c r="F51" s="2950"/>
      <c r="G51" s="2951"/>
      <c r="H51" s="2952"/>
      <c r="I51" s="2952"/>
      <c r="J51" s="2953">
        <f>IFERROR(VLOOKUP(B51,DG!A:F,6,0),3000)</f>
        <v>3000</v>
      </c>
      <c r="K51" s="2954">
        <f>IF(J51&lt;2000,COUNTIF($B$2:B51,B51),0)</f>
        <v>0</v>
      </c>
      <c r="L51" s="1303"/>
      <c r="M51" s="1378"/>
      <c r="O51" s="1378"/>
    </row>
    <row r="52" spans="1:15" s="1211" customFormat="1" ht="25.2" customHeight="1">
      <c r="A52" s="2945">
        <f>COUNTIF($K$1:K52,1)</f>
        <v>0</v>
      </c>
      <c r="B52" s="2960"/>
      <c r="C52" s="2961"/>
      <c r="D52" s="2962"/>
      <c r="E52" s="2963"/>
      <c r="F52" s="2964"/>
      <c r="G52" s="2958"/>
      <c r="H52" s="2959"/>
      <c r="I52" s="2952"/>
      <c r="J52" s="2953">
        <f>IFERROR(VLOOKUP(B52,DG!A:F,6,0),3000)</f>
        <v>3000</v>
      </c>
      <c r="K52" s="2954">
        <f>IF(J52&lt;2000,COUNTIF($B$2:B52,B52),0)</f>
        <v>0</v>
      </c>
      <c r="L52" s="1791"/>
      <c r="M52" s="1792"/>
      <c r="N52" s="1793"/>
      <c r="O52" s="1792"/>
    </row>
    <row r="53" spans="1:15" s="1211" customFormat="1" ht="25.2" customHeight="1">
      <c r="A53" s="2945">
        <f>COUNTIF($K$1:K53,1)</f>
        <v>0</v>
      </c>
      <c r="B53" s="2946"/>
      <c r="C53" s="2947"/>
      <c r="D53" s="2948"/>
      <c r="E53" s="2949"/>
      <c r="F53" s="2950"/>
      <c r="G53" s="2951"/>
      <c r="H53" s="2952"/>
      <c r="I53" s="2952"/>
      <c r="J53" s="2953">
        <f>IFERROR(VLOOKUP(B53,DG!A:F,6,0),3000)</f>
        <v>3000</v>
      </c>
      <c r="K53" s="2954">
        <f>IF(J53&lt;2000,COUNTIF($B$2:B53,B53),0)</f>
        <v>0</v>
      </c>
      <c r="L53" s="1303"/>
      <c r="M53" s="1378"/>
      <c r="O53" s="1378"/>
    </row>
    <row r="54" spans="1:15" s="1211" customFormat="1" ht="25.2" customHeight="1">
      <c r="A54" s="2945">
        <f>COUNTIF($K$1:K54,1)</f>
        <v>0</v>
      </c>
      <c r="B54" s="2946"/>
      <c r="C54" s="2947"/>
      <c r="D54" s="2948"/>
      <c r="E54" s="2949"/>
      <c r="F54" s="2950"/>
      <c r="G54" s="2951"/>
      <c r="H54" s="2952"/>
      <c r="I54" s="2952"/>
      <c r="J54" s="2953">
        <f>IFERROR(VLOOKUP(B54,DG!A:F,6,0),3000)</f>
        <v>3000</v>
      </c>
      <c r="K54" s="2954">
        <f>IF(J54&lt;2000,COUNTIF($B$2:B54,B54),0)</f>
        <v>0</v>
      </c>
      <c r="L54" s="1791"/>
      <c r="M54" s="1378"/>
      <c r="O54" s="1378"/>
    </row>
    <row r="55" spans="1:15" s="1211" customFormat="1" ht="25.2" customHeight="1">
      <c r="A55" s="2945">
        <f>COUNTIF($K$1:K55,1)</f>
        <v>0</v>
      </c>
      <c r="B55" s="2946"/>
      <c r="C55" s="2947"/>
      <c r="D55" s="2948"/>
      <c r="E55" s="2949"/>
      <c r="F55" s="2950"/>
      <c r="G55" s="2951"/>
      <c r="H55" s="2952"/>
      <c r="I55" s="2952"/>
      <c r="J55" s="2953">
        <f>IFERROR(VLOOKUP(B55,DG!A:F,6,0),3000)</f>
        <v>3000</v>
      </c>
      <c r="K55" s="2954">
        <f>IF(J55&lt;2000,COUNTIF($B$2:B55,B55),0)</f>
        <v>0</v>
      </c>
      <c r="L55" s="1791"/>
      <c r="M55" s="1378"/>
      <c r="O55" s="1378"/>
    </row>
    <row r="56" spans="1:15" s="1211" customFormat="1" ht="25.2" customHeight="1">
      <c r="A56" s="2945">
        <f>COUNTIF($K$1:K56,1)</f>
        <v>0</v>
      </c>
      <c r="B56" s="2946"/>
      <c r="C56" s="2947"/>
      <c r="D56" s="2948"/>
      <c r="E56" s="2949"/>
      <c r="F56" s="2950"/>
      <c r="G56" s="2951"/>
      <c r="H56" s="2952"/>
      <c r="I56" s="2952"/>
      <c r="J56" s="2953">
        <f>IFERROR(VLOOKUP(B56,DG!A:F,6,0),3000)</f>
        <v>3000</v>
      </c>
      <c r="K56" s="2954">
        <f>IF(J56&lt;2000,COUNTIF($B$2:B56,B56),0)</f>
        <v>0</v>
      </c>
      <c r="L56" s="1303"/>
      <c r="M56" s="1378"/>
      <c r="O56" s="1378"/>
    </row>
    <row r="57" spans="1:15" s="1211" customFormat="1" ht="25.2" customHeight="1">
      <c r="A57" s="2945">
        <f>COUNTIF($K$1:K57,1)</f>
        <v>0</v>
      </c>
      <c r="B57" s="2946"/>
      <c r="C57" s="2947"/>
      <c r="D57" s="2948"/>
      <c r="E57" s="2949"/>
      <c r="F57" s="2950"/>
      <c r="G57" s="2951"/>
      <c r="H57" s="2952"/>
      <c r="I57" s="2952"/>
      <c r="J57" s="2953">
        <f>IFERROR(VLOOKUP(B57,DG!A:F,6,0),3000)</f>
        <v>3000</v>
      </c>
      <c r="K57" s="2954">
        <f>IF(J57&lt;2000,COUNTIF($B$2:B57,B57),0)</f>
        <v>0</v>
      </c>
      <c r="L57" s="1791"/>
      <c r="M57" s="1378"/>
      <c r="O57" s="1378"/>
    </row>
    <row r="58" spans="1:15" s="1211" customFormat="1" ht="25.2" customHeight="1">
      <c r="A58" s="2945">
        <f>COUNTIF($K$1:K58,1)</f>
        <v>0</v>
      </c>
      <c r="B58" s="2946"/>
      <c r="C58" s="2947"/>
      <c r="D58" s="2948"/>
      <c r="E58" s="2949"/>
      <c r="F58" s="2950"/>
      <c r="G58" s="2951"/>
      <c r="H58" s="2952"/>
      <c r="I58" s="2952"/>
      <c r="J58" s="2953">
        <f>IFERROR(VLOOKUP(B58,DG!A:F,6,0),3000)</f>
        <v>3000</v>
      </c>
      <c r="K58" s="2954">
        <f>IF(J58&lt;2000,COUNTIF($B$2:B58,B58),0)</f>
        <v>0</v>
      </c>
      <c r="L58" s="1303"/>
      <c r="M58" s="1378"/>
      <c r="O58" s="1378"/>
    </row>
    <row r="59" spans="1:15" s="1211" customFormat="1" ht="25.2" customHeight="1">
      <c r="A59" s="2945">
        <f>COUNTIF($K$1:K59,1)</f>
        <v>0</v>
      </c>
      <c r="B59" s="2960"/>
      <c r="C59" s="2961"/>
      <c r="D59" s="2962"/>
      <c r="E59" s="2963"/>
      <c r="F59" s="2964"/>
      <c r="G59" s="2958"/>
      <c r="H59" s="2959"/>
      <c r="I59" s="2973"/>
      <c r="J59" s="2953">
        <f>IFERROR(VLOOKUP(B59,DG!A:F,6,0),3000)</f>
        <v>3000</v>
      </c>
      <c r="K59" s="2954">
        <f>IF(J59&lt;2000,COUNTIF($B$2:B59,B59),0)</f>
        <v>0</v>
      </c>
      <c r="L59" s="1791"/>
      <c r="M59" s="1378"/>
      <c r="O59" s="1378"/>
    </row>
    <row r="60" spans="1:15" s="1211" customFormat="1" ht="25.2" customHeight="1">
      <c r="A60" s="2945">
        <f>COUNTIF($K$1:K60,1)</f>
        <v>0</v>
      </c>
      <c r="B60" s="2946"/>
      <c r="C60" s="2947"/>
      <c r="D60" s="2948"/>
      <c r="E60" s="2955"/>
      <c r="F60" s="2946"/>
      <c r="G60" s="2956"/>
      <c r="H60" s="2956"/>
      <c r="I60" s="2956"/>
      <c r="J60" s="2953">
        <f>IFERROR(VLOOKUP(B60,DG!A:F,6,0),3000)</f>
        <v>3000</v>
      </c>
      <c r="K60" s="2954">
        <f>IF(J60&lt;2000,COUNTIF($B$2:B60,B60),0)</f>
        <v>0</v>
      </c>
      <c r="L60" s="1300"/>
      <c r="M60" s="1378"/>
      <c r="O60" s="1378"/>
    </row>
    <row r="61" spans="1:15" s="1211" customFormat="1" ht="25.2" customHeight="1">
      <c r="A61" s="2945">
        <f>COUNTIF($K$1:K61,1)</f>
        <v>0</v>
      </c>
      <c r="B61" s="2946"/>
      <c r="C61" s="2947"/>
      <c r="D61" s="2948"/>
      <c r="E61" s="2949"/>
      <c r="F61" s="2950"/>
      <c r="G61" s="2951"/>
      <c r="H61" s="2952"/>
      <c r="I61" s="2952"/>
      <c r="J61" s="2953">
        <f>IFERROR(VLOOKUP(B61,DG!A:F,6,0),3000)</f>
        <v>3000</v>
      </c>
      <c r="K61" s="2954">
        <f>IF(J61&lt;2000,COUNTIF($B$2:B61,B61),0)</f>
        <v>0</v>
      </c>
      <c r="L61" s="1303"/>
      <c r="M61" s="1378"/>
      <c r="O61" s="1378"/>
    </row>
    <row r="62" spans="1:15" s="1211" customFormat="1" ht="25.2" customHeight="1">
      <c r="A62" s="2945">
        <f>COUNTIF($K$1:K62,1)</f>
        <v>0</v>
      </c>
      <c r="B62" s="2946"/>
      <c r="C62" s="2947"/>
      <c r="D62" s="2948"/>
      <c r="E62" s="2949"/>
      <c r="F62" s="2950"/>
      <c r="G62" s="2951"/>
      <c r="H62" s="2952"/>
      <c r="I62" s="2952"/>
      <c r="J62" s="2953">
        <f>IFERROR(VLOOKUP(B62,DG!A:F,6,0),3000)</f>
        <v>3000</v>
      </c>
      <c r="K62" s="2954">
        <f>IF(J62&lt;2000,COUNTIF($B$2:B62,B62),0)</f>
        <v>0</v>
      </c>
      <c r="L62" s="1303"/>
      <c r="M62" s="1378"/>
      <c r="O62" s="1378"/>
    </row>
    <row r="63" spans="1:15" s="1211" customFormat="1" ht="25.2" customHeight="1">
      <c r="A63" s="2945">
        <f>COUNTIF($K$1:K63,1)</f>
        <v>0</v>
      </c>
      <c r="B63" s="2946"/>
      <c r="C63" s="2947"/>
      <c r="D63" s="2948"/>
      <c r="E63" s="2949"/>
      <c r="F63" s="2950"/>
      <c r="G63" s="2951"/>
      <c r="H63" s="2952"/>
      <c r="I63" s="2952"/>
      <c r="J63" s="2953">
        <f>IFERROR(VLOOKUP(B63,DG!A:F,6,0),3000)</f>
        <v>3000</v>
      </c>
      <c r="K63" s="2954">
        <f>IF(J63&lt;2000,COUNTIF($B$2:B63,B63),0)</f>
        <v>0</v>
      </c>
      <c r="L63" s="1303"/>
      <c r="M63" s="1378"/>
      <c r="O63" s="1378"/>
    </row>
    <row r="64" spans="1:15" s="1211" customFormat="1" ht="25.2" customHeight="1">
      <c r="A64" s="2945">
        <f>COUNTIF($K$1:K64,1)</f>
        <v>0</v>
      </c>
      <c r="B64" s="2960"/>
      <c r="C64" s="2961"/>
      <c r="D64" s="2962"/>
      <c r="E64" s="2963"/>
      <c r="F64" s="2964"/>
      <c r="G64" s="2951"/>
      <c r="H64" s="2952"/>
      <c r="I64" s="2952"/>
      <c r="J64" s="2953">
        <f>IFERROR(VLOOKUP(B64,DG!A:F,6,0),3000)</f>
        <v>3000</v>
      </c>
      <c r="K64" s="2954">
        <f>IF(J64&lt;2000,COUNTIF($B$2:B64,B64),0)</f>
        <v>0</v>
      </c>
      <c r="L64" s="1303"/>
      <c r="M64" s="1378"/>
      <c r="O64" s="1378"/>
    </row>
    <row r="65" spans="1:15" s="1211" customFormat="1" ht="25.2" customHeight="1">
      <c r="A65" s="2945">
        <f>COUNTIF($K$1:K65,1)</f>
        <v>0</v>
      </c>
      <c r="B65" s="2946"/>
      <c r="C65" s="2947"/>
      <c r="D65" s="2948"/>
      <c r="E65" s="2949"/>
      <c r="F65" s="2950"/>
      <c r="G65" s="2951"/>
      <c r="H65" s="2952"/>
      <c r="I65" s="2952"/>
      <c r="J65" s="2953">
        <f>IFERROR(VLOOKUP(B65,DG!A:F,6,0),3000)</f>
        <v>3000</v>
      </c>
      <c r="K65" s="2954">
        <f>IF(J65&lt;2000,COUNTIF($B$2:B65,B65),0)</f>
        <v>0</v>
      </c>
      <c r="L65" s="1303"/>
      <c r="M65" s="1378"/>
      <c r="O65" s="1378"/>
    </row>
    <row r="66" spans="1:15" s="1211" customFormat="1" ht="25.2" customHeight="1">
      <c r="A66" s="2945">
        <f>COUNTIF($K$1:K66,1)</f>
        <v>0</v>
      </c>
      <c r="B66" s="2946"/>
      <c r="C66" s="2947"/>
      <c r="D66" s="2948"/>
      <c r="E66" s="2949"/>
      <c r="F66" s="2950"/>
      <c r="G66" s="2951"/>
      <c r="H66" s="2952"/>
      <c r="I66" s="2952"/>
      <c r="J66" s="2953">
        <f>IFERROR(VLOOKUP(B66,DG!A:F,6,0),3000)</f>
        <v>3000</v>
      </c>
      <c r="K66" s="2954">
        <f>IF(J66&lt;2000,COUNTIF($B$2:B66,B66),0)</f>
        <v>0</v>
      </c>
      <c r="L66" s="1303"/>
      <c r="M66" s="1378"/>
      <c r="O66" s="1378"/>
    </row>
    <row r="67" spans="1:15" s="1211" customFormat="1" ht="25.2" customHeight="1">
      <c r="A67" s="2945">
        <f>COUNTIF($K$1:K67,1)</f>
        <v>0</v>
      </c>
      <c r="B67" s="2946"/>
      <c r="C67" s="2947"/>
      <c r="D67" s="2948"/>
      <c r="E67" s="2949"/>
      <c r="F67" s="2950"/>
      <c r="G67" s="2951"/>
      <c r="H67" s="2952"/>
      <c r="I67" s="2952"/>
      <c r="J67" s="2953">
        <f>IFERROR(VLOOKUP(B67,DG!A:F,6,0),3000)</f>
        <v>3000</v>
      </c>
      <c r="K67" s="2954">
        <f>IF(J67&lt;2000,COUNTIF($B$2:B67,B67),0)</f>
        <v>0</v>
      </c>
      <c r="L67" s="1791"/>
      <c r="M67" s="1378"/>
      <c r="O67" s="1378"/>
    </row>
    <row r="68" spans="1:15" s="1211" customFormat="1" ht="25.2" customHeight="1">
      <c r="A68" s="2945">
        <f>COUNTIF($K$1:K68,1)</f>
        <v>0</v>
      </c>
      <c r="B68" s="2946"/>
      <c r="C68" s="2947"/>
      <c r="D68" s="2948"/>
      <c r="E68" s="2949"/>
      <c r="F68" s="2950"/>
      <c r="G68" s="2951"/>
      <c r="H68" s="2952"/>
      <c r="I68" s="2952"/>
      <c r="J68" s="2953">
        <f>IFERROR(VLOOKUP(B68,DG!A:F,6,0),3000)</f>
        <v>3000</v>
      </c>
      <c r="K68" s="2954">
        <f>IF(J68&lt;2000,COUNTIF($B$2:B68,B68),0)</f>
        <v>0</v>
      </c>
      <c r="L68" s="1303"/>
      <c r="M68" s="1378"/>
      <c r="O68" s="1378"/>
    </row>
    <row r="69" spans="1:15" s="1211" customFormat="1" ht="25.2" customHeight="1">
      <c r="A69" s="2945">
        <f>COUNTIF($K$1:K69,1)</f>
        <v>0</v>
      </c>
      <c r="B69" s="2946"/>
      <c r="C69" s="2947"/>
      <c r="D69" s="2948"/>
      <c r="E69" s="2949"/>
      <c r="F69" s="2950"/>
      <c r="G69" s="2951"/>
      <c r="H69" s="2952"/>
      <c r="I69" s="2952"/>
      <c r="J69" s="2953">
        <f>IFERROR(VLOOKUP(B69,DG!A:F,6,0),3000)</f>
        <v>3000</v>
      </c>
      <c r="K69" s="2954">
        <f>IF(J69&lt;2000,COUNTIF($B$2:B69,B69),0)</f>
        <v>0</v>
      </c>
      <c r="L69" s="1791"/>
      <c r="M69" s="1378"/>
      <c r="O69" s="1378"/>
    </row>
    <row r="70" spans="1:15" s="1211" customFormat="1" ht="25.2" customHeight="1">
      <c r="A70" s="2945">
        <f>COUNTIF($K$1:K70,1)</f>
        <v>0</v>
      </c>
      <c r="B70" s="2946"/>
      <c r="C70" s="2947"/>
      <c r="D70" s="2948"/>
      <c r="E70" s="2955"/>
      <c r="F70" s="2946"/>
      <c r="G70" s="2956"/>
      <c r="H70" s="2956"/>
      <c r="I70" s="2956"/>
      <c r="J70" s="2953">
        <f>IFERROR(VLOOKUP(B70,DG!A:F,6,0),3000)</f>
        <v>3000</v>
      </c>
      <c r="K70" s="2954">
        <f>IF(J70&lt;2000,COUNTIF($B$2:B70,B70),0)</f>
        <v>0</v>
      </c>
      <c r="L70" s="1300"/>
      <c r="M70" s="1378"/>
      <c r="O70" s="1378"/>
    </row>
    <row r="71" spans="1:15" s="1211" customFormat="1" ht="25.2" customHeight="1">
      <c r="A71" s="2945">
        <f>COUNTIF($K$1:K71,1)</f>
        <v>0</v>
      </c>
      <c r="B71" s="2946"/>
      <c r="C71" s="2947"/>
      <c r="D71" s="2948"/>
      <c r="E71" s="2949"/>
      <c r="F71" s="2950"/>
      <c r="G71" s="2951"/>
      <c r="H71" s="2952"/>
      <c r="I71" s="2952"/>
      <c r="J71" s="2953">
        <f>IFERROR(VLOOKUP(B71,DG!A:F,6,0),3000)</f>
        <v>3000</v>
      </c>
      <c r="K71" s="2954">
        <f>IF(J71&lt;2000,COUNTIF($B$2:B71,B71),0)</f>
        <v>0</v>
      </c>
      <c r="L71" s="1303"/>
      <c r="M71" s="1378"/>
      <c r="O71" s="1378"/>
    </row>
    <row r="72" spans="1:15" s="1211" customFormat="1" ht="25.2" customHeight="1">
      <c r="A72" s="2945">
        <f>COUNTIF($K$1:K72,1)</f>
        <v>0</v>
      </c>
      <c r="B72" s="2946"/>
      <c r="C72" s="2947"/>
      <c r="D72" s="2948"/>
      <c r="E72" s="2949"/>
      <c r="F72" s="2950"/>
      <c r="G72" s="2951"/>
      <c r="H72" s="2952"/>
      <c r="I72" s="2952"/>
      <c r="J72" s="2953">
        <f>IFERROR(VLOOKUP(B72,DG!A:F,6,0),3000)</f>
        <v>3000</v>
      </c>
      <c r="K72" s="2954">
        <f>IF(J72&lt;2000,COUNTIF($B$2:B72,B72),0)</f>
        <v>0</v>
      </c>
      <c r="L72" s="1303"/>
      <c r="M72" s="1378"/>
      <c r="O72" s="1378"/>
    </row>
    <row r="73" spans="1:15" s="1211" customFormat="1" ht="25.2" customHeight="1">
      <c r="A73" s="2945">
        <f>COUNTIF($K$1:K73,1)</f>
        <v>0</v>
      </c>
      <c r="B73" s="2960"/>
      <c r="C73" s="2961"/>
      <c r="D73" s="2962"/>
      <c r="E73" s="2963"/>
      <c r="F73" s="2964"/>
      <c r="G73" s="2958"/>
      <c r="H73" s="2952"/>
      <c r="I73" s="2952"/>
      <c r="J73" s="2953">
        <f>IFERROR(VLOOKUP(B73,DG!A:F,6,0),3000)</f>
        <v>3000</v>
      </c>
      <c r="K73" s="2954">
        <f>IF(J73&lt;2000,COUNTIF($B$2:B73,B73),0)</f>
        <v>0</v>
      </c>
      <c r="L73" s="1303"/>
      <c r="M73" s="1378"/>
      <c r="O73" s="1378"/>
    </row>
    <row r="74" spans="1:15" s="1211" customFormat="1" ht="25.2" customHeight="1">
      <c r="A74" s="2945">
        <f>COUNTIF($K$1:K74,1)</f>
        <v>0</v>
      </c>
      <c r="B74" s="2946"/>
      <c r="C74" s="2947"/>
      <c r="D74" s="2948"/>
      <c r="E74" s="2955"/>
      <c r="F74" s="2946"/>
      <c r="G74" s="2956"/>
      <c r="H74" s="2956"/>
      <c r="I74" s="2957"/>
      <c r="J74" s="2953">
        <f>IFERROR(VLOOKUP(B74,DG!A:F,6,0),3000)</f>
        <v>3000</v>
      </c>
      <c r="K74" s="2954">
        <f>IF(J74&lt;2000,COUNTIF($B$2:B74,B74),0)</f>
        <v>0</v>
      </c>
      <c r="L74" s="1300"/>
      <c r="M74" s="1378"/>
      <c r="O74" s="1378"/>
    </row>
    <row r="75" spans="1:15" s="1211" customFormat="1" ht="25.2" customHeight="1">
      <c r="A75" s="2945">
        <f>COUNTIF($K$1:K75,1)</f>
        <v>0</v>
      </c>
      <c r="B75" s="2946"/>
      <c r="C75" s="2947"/>
      <c r="D75" s="2948"/>
      <c r="E75" s="2949"/>
      <c r="F75" s="2950"/>
      <c r="G75" s="2951"/>
      <c r="H75" s="2952"/>
      <c r="I75" s="2952"/>
      <c r="J75" s="2953">
        <f>IFERROR(VLOOKUP(B75,DG!A:F,6,0),3000)</f>
        <v>3000</v>
      </c>
      <c r="K75" s="2954">
        <f>IF(J75&lt;2000,COUNTIF($B$2:B75,B75),0)</f>
        <v>0</v>
      </c>
      <c r="L75" s="1303"/>
      <c r="M75" s="1378"/>
      <c r="O75" s="1378"/>
    </row>
    <row r="76" spans="1:15" s="1211" customFormat="1" ht="25.2" customHeight="1">
      <c r="A76" s="2945">
        <f>COUNTIF($K$1:K76,1)</f>
        <v>0</v>
      </c>
      <c r="B76" s="2946"/>
      <c r="C76" s="2947"/>
      <c r="D76" s="2948"/>
      <c r="E76" s="2949"/>
      <c r="F76" s="2950"/>
      <c r="G76" s="2951"/>
      <c r="H76" s="2952"/>
      <c r="I76" s="2952"/>
      <c r="J76" s="2953">
        <f>IFERROR(VLOOKUP(B76,DG!A:F,6,0),3000)</f>
        <v>3000</v>
      </c>
      <c r="K76" s="2954">
        <f>IF(J76&lt;2000,COUNTIF($B$2:B76,B76),0)</f>
        <v>0</v>
      </c>
      <c r="L76" s="1303"/>
      <c r="M76" s="1378"/>
      <c r="O76" s="1378"/>
    </row>
    <row r="77" spans="1:15" s="1211" customFormat="1" ht="25.2" customHeight="1">
      <c r="A77" s="2945">
        <f>COUNTIF($K$1:K77,1)</f>
        <v>0</v>
      </c>
      <c r="B77" s="2946"/>
      <c r="C77" s="2947"/>
      <c r="D77" s="2948"/>
      <c r="E77" s="2955"/>
      <c r="F77" s="2946"/>
      <c r="G77" s="2956"/>
      <c r="H77" s="2956"/>
      <c r="I77" s="2956"/>
      <c r="J77" s="2953">
        <f>IFERROR(VLOOKUP(B77,DG!A:F,6,0),3000)</f>
        <v>3000</v>
      </c>
      <c r="K77" s="2954">
        <f>IF(J77&lt;2000,COUNTIF($B$2:B77,B77),0)</f>
        <v>0</v>
      </c>
      <c r="L77" s="1300"/>
      <c r="M77" s="1378"/>
      <c r="O77" s="1378"/>
    </row>
    <row r="78" spans="1:15" s="1211" customFormat="1" ht="25.2" customHeight="1">
      <c r="A78" s="2945">
        <f>COUNTIF($K$1:K78,1)</f>
        <v>0</v>
      </c>
      <c r="B78" s="2946"/>
      <c r="C78" s="2947"/>
      <c r="D78" s="2948"/>
      <c r="E78" s="2955"/>
      <c r="F78" s="2946"/>
      <c r="G78" s="2956"/>
      <c r="H78" s="2956"/>
      <c r="I78" s="2956"/>
      <c r="J78" s="2953">
        <f>IFERROR(VLOOKUP(B78,DG!A:F,6,0),3000)</f>
        <v>3000</v>
      </c>
      <c r="K78" s="2954">
        <f>IF(J78&lt;2000,COUNTIF($B$2:B78,B78),0)</f>
        <v>0</v>
      </c>
      <c r="L78" s="1991"/>
      <c r="M78" s="1378"/>
      <c r="O78" s="1378"/>
    </row>
    <row r="79" spans="1:15" s="1211" customFormat="1" ht="25.2" customHeight="1">
      <c r="A79" s="2945">
        <f>COUNTIF($K$1:K79,1)</f>
        <v>0</v>
      </c>
      <c r="B79" s="2946"/>
      <c r="C79" s="2947"/>
      <c r="D79" s="2948"/>
      <c r="E79" s="2949"/>
      <c r="F79" s="2950"/>
      <c r="G79" s="2951"/>
      <c r="H79" s="2952"/>
      <c r="I79" s="2952"/>
      <c r="J79" s="2953">
        <f>IFERROR(VLOOKUP(B79,DG!A:F,6,0),3000)</f>
        <v>3000</v>
      </c>
      <c r="K79" s="2954">
        <f>IF(J79&lt;2000,COUNTIF($B$2:B79,B79),0)</f>
        <v>0</v>
      </c>
      <c r="L79" s="1303"/>
      <c r="M79" s="1378"/>
      <c r="O79" s="1378"/>
    </row>
    <row r="80" spans="1:15" s="1211" customFormat="1" ht="25.2" customHeight="1">
      <c r="A80" s="2945">
        <f>COUNTIF($K$1:K80,1)</f>
        <v>0</v>
      </c>
      <c r="B80" s="2946"/>
      <c r="C80" s="2947"/>
      <c r="D80" s="2948"/>
      <c r="E80" s="2949"/>
      <c r="F80" s="2950"/>
      <c r="G80" s="2951"/>
      <c r="H80" s="2952"/>
      <c r="I80" s="2952"/>
      <c r="J80" s="2953">
        <f>IFERROR(VLOOKUP(B80,DG!A:F,6,0),3000)</f>
        <v>3000</v>
      </c>
      <c r="K80" s="2954">
        <f>IF(J80&lt;2000,COUNTIF($B$2:B80,B80),0)</f>
        <v>0</v>
      </c>
      <c r="L80" s="1300"/>
      <c r="M80" s="1378"/>
      <c r="O80" s="1378"/>
    </row>
    <row r="81" spans="1:15" s="1211" customFormat="1" ht="25.2" customHeight="1">
      <c r="A81" s="2945">
        <f>COUNTIF($K$1:K81,1)</f>
        <v>0</v>
      </c>
      <c r="B81" s="2946"/>
      <c r="C81" s="2947"/>
      <c r="D81" s="2948"/>
      <c r="E81" s="2955"/>
      <c r="F81" s="2946"/>
      <c r="G81" s="2956"/>
      <c r="H81" s="2956"/>
      <c r="I81" s="2956"/>
      <c r="J81" s="2953">
        <f>IFERROR(VLOOKUP(B81,DG!A:F,6,0),3000)</f>
        <v>3000</v>
      </c>
      <c r="K81" s="2954">
        <f>IF(J81&lt;2000,COUNTIF($B$2:B81,B81),0)</f>
        <v>0</v>
      </c>
      <c r="L81" s="1303"/>
      <c r="M81" s="1378"/>
      <c r="O81" s="1378"/>
    </row>
    <row r="82" spans="1:15" s="1211" customFormat="1" ht="25.2" customHeight="1">
      <c r="A82" s="2945">
        <f>COUNTIF($K$1:K82,1)</f>
        <v>0</v>
      </c>
      <c r="B82" s="2946"/>
      <c r="C82" s="2947"/>
      <c r="D82" s="2948"/>
      <c r="E82" s="2949"/>
      <c r="F82" s="2950"/>
      <c r="G82" s="2969"/>
      <c r="H82" s="2970"/>
      <c r="I82" s="2970"/>
      <c r="J82" s="2953">
        <f>IFERROR(VLOOKUP(B82,DG!A:F,6,0),3000)</f>
        <v>3000</v>
      </c>
      <c r="K82" s="2954">
        <f>IF(J82&lt;2000,COUNTIF($B$2:B82,B82),0)</f>
        <v>0</v>
      </c>
      <c r="L82" s="1303"/>
      <c r="M82" s="1378"/>
      <c r="O82" s="1378"/>
    </row>
    <row r="83" spans="1:15" s="1211" customFormat="1" ht="25.2" customHeight="1">
      <c r="A83" s="2945">
        <f>COUNTIF($K$1:K83,1)</f>
        <v>0</v>
      </c>
      <c r="B83" s="2946"/>
      <c r="C83" s="2947"/>
      <c r="D83" s="2948"/>
      <c r="E83" s="2949"/>
      <c r="F83" s="2950"/>
      <c r="G83" s="2951"/>
      <c r="H83" s="2952"/>
      <c r="I83" s="2952"/>
      <c r="J83" s="2953">
        <f>IFERROR(VLOOKUP(B83,DG!A:F,6,0),3000)</f>
        <v>3000</v>
      </c>
      <c r="K83" s="2954">
        <f>IF(J83&lt;2000,COUNTIF($B$2:B83,B83),0)</f>
        <v>0</v>
      </c>
      <c r="L83" s="1303"/>
      <c r="M83" s="1378"/>
      <c r="O83" s="1378"/>
    </row>
    <row r="84" spans="1:15" s="1211" customFormat="1" ht="25.2" customHeight="1">
      <c r="A84" s="2945">
        <f>COUNTIF($K$1:K84,1)</f>
        <v>0</v>
      </c>
      <c r="B84" s="2946"/>
      <c r="C84" s="2947"/>
      <c r="D84" s="2948"/>
      <c r="E84" s="2955"/>
      <c r="F84" s="2946"/>
      <c r="G84" s="2956"/>
      <c r="H84" s="2956"/>
      <c r="I84" s="2956"/>
      <c r="J84" s="2953">
        <f>IFERROR(VLOOKUP(B84,DG!A:F,6,0),3000)</f>
        <v>3000</v>
      </c>
      <c r="K84" s="2954">
        <f>IF(J84&lt;2000,COUNTIF($B$2:B84,B84),0)</f>
        <v>0</v>
      </c>
      <c r="L84" s="1300"/>
      <c r="M84" s="1378"/>
      <c r="O84" s="1378"/>
    </row>
    <row r="85" spans="1:15" s="1211" customFormat="1" ht="25.2" customHeight="1">
      <c r="A85" s="2945">
        <f>COUNTIF($K$1:K85,1)</f>
        <v>0</v>
      </c>
      <c r="B85" s="2960"/>
      <c r="C85" s="2961"/>
      <c r="D85" s="2962"/>
      <c r="E85" s="2974"/>
      <c r="F85" s="2960"/>
      <c r="G85" s="2975"/>
      <c r="H85" s="2975"/>
      <c r="I85" s="2957"/>
      <c r="J85" s="2953">
        <f>IFERROR(VLOOKUP(B85,DG!A:F,6,0),3000)</f>
        <v>3000</v>
      </c>
      <c r="K85" s="2954">
        <f>IF(J85&lt;2000,COUNTIF($B$2:B85,B85),0)</f>
        <v>0</v>
      </c>
      <c r="L85" s="1300"/>
      <c r="M85" s="1378"/>
      <c r="O85" s="1378"/>
    </row>
    <row r="86" spans="1:15" s="1211" customFormat="1" ht="25.2" customHeight="1">
      <c r="A86" s="2945">
        <f>COUNTIF($K$1:K86,1)</f>
        <v>0</v>
      </c>
      <c r="B86" s="2946"/>
      <c r="C86" s="2947"/>
      <c r="D86" s="2948"/>
      <c r="E86" s="2955"/>
      <c r="F86" s="2946"/>
      <c r="G86" s="2956"/>
      <c r="H86" s="2956"/>
      <c r="I86" s="2956"/>
      <c r="J86" s="2953">
        <f>IFERROR(VLOOKUP(B86,DG!A:F,6,0),3000)</f>
        <v>3000</v>
      </c>
      <c r="K86" s="2954">
        <f>IF(J86&lt;2000,COUNTIF($B$2:B86,B86),0)</f>
        <v>0</v>
      </c>
      <c r="L86" s="1300"/>
      <c r="M86" s="1378"/>
      <c r="O86" s="1378"/>
    </row>
    <row r="87" spans="1:15" s="1211" customFormat="1" ht="25.2" customHeight="1">
      <c r="A87" s="2945">
        <f>COUNTIF($K$1:K87,1)</f>
        <v>0</v>
      </c>
      <c r="B87" s="2946"/>
      <c r="C87" s="2947"/>
      <c r="D87" s="2948"/>
      <c r="E87" s="2949"/>
      <c r="F87" s="2950"/>
      <c r="G87" s="2951"/>
      <c r="H87" s="2952"/>
      <c r="I87" s="2952"/>
      <c r="J87" s="2953">
        <f>IFERROR(VLOOKUP(B87,DG!A:F,6,0),3000)</f>
        <v>3000</v>
      </c>
      <c r="K87" s="2954">
        <f>IF(J87&lt;2000,COUNTIF($B$2:B87,B87),0)</f>
        <v>0</v>
      </c>
      <c r="L87" s="1791"/>
      <c r="M87" s="1378"/>
      <c r="O87" s="1378"/>
    </row>
    <row r="88" spans="1:15" s="1211" customFormat="1" ht="25.2" customHeight="1">
      <c r="A88" s="2945">
        <f>COUNTIF($K$1:K88,1)</f>
        <v>0</v>
      </c>
      <c r="B88" s="2946"/>
      <c r="C88" s="2947"/>
      <c r="D88" s="2948"/>
      <c r="E88" s="2949"/>
      <c r="F88" s="2950"/>
      <c r="G88" s="2958"/>
      <c r="H88" s="2959"/>
      <c r="I88" s="2952"/>
      <c r="J88" s="2953">
        <f>IFERROR(VLOOKUP(B88,DG!A:F,6,0),3000)</f>
        <v>3000</v>
      </c>
      <c r="K88" s="2954">
        <f>IF(J88&lt;2000,COUNTIF($B$2:B88,B88),0)</f>
        <v>0</v>
      </c>
      <c r="L88" s="1303"/>
      <c r="M88" s="1378"/>
      <c r="O88" s="1378"/>
    </row>
    <row r="89" spans="1:15" s="1211" customFormat="1" ht="25.2" customHeight="1">
      <c r="A89" s="2945">
        <f>COUNTIF($K$1:K89,1)</f>
        <v>0</v>
      </c>
      <c r="B89" s="2946"/>
      <c r="C89" s="2947"/>
      <c r="D89" s="2948"/>
      <c r="E89" s="2949"/>
      <c r="F89" s="2950"/>
      <c r="G89" s="2951"/>
      <c r="H89" s="2952"/>
      <c r="I89" s="2952"/>
      <c r="J89" s="2953">
        <f>IFERROR(VLOOKUP(B89,DG!A:F,6,0),3000)</f>
        <v>3000</v>
      </c>
      <c r="K89" s="2954">
        <f>IF(J89&lt;2000,COUNTIF($B$2:B89,B89),0)</f>
        <v>0</v>
      </c>
      <c r="L89" s="1303"/>
      <c r="M89" s="1378"/>
      <c r="O89" s="1378"/>
    </row>
    <row r="90" spans="1:15" s="1211" customFormat="1" ht="25.2" customHeight="1">
      <c r="A90" s="2945">
        <f>COUNTIF($K$1:K90,1)</f>
        <v>0</v>
      </c>
      <c r="B90" s="2946"/>
      <c r="C90" s="2947"/>
      <c r="D90" s="2948"/>
      <c r="E90" s="2949"/>
      <c r="F90" s="2950"/>
      <c r="G90" s="2951"/>
      <c r="H90" s="2952"/>
      <c r="I90" s="2952"/>
      <c r="J90" s="2953">
        <f>IFERROR(VLOOKUP(B90,DG!A:F,6,0),3000)</f>
        <v>3000</v>
      </c>
      <c r="K90" s="2954">
        <f>IF(J90&lt;2000,COUNTIF($B$2:B90,B90),0)</f>
        <v>0</v>
      </c>
      <c r="L90" s="1303"/>
      <c r="M90" s="1378"/>
      <c r="O90" s="1378"/>
    </row>
    <row r="91" spans="1:15" s="1211" customFormat="1" ht="25.2" customHeight="1">
      <c r="A91" s="2945">
        <f>COUNTIF($K$1:K91,1)</f>
        <v>0</v>
      </c>
      <c r="B91" s="2946"/>
      <c r="C91" s="2947"/>
      <c r="D91" s="2948"/>
      <c r="E91" s="2949"/>
      <c r="F91" s="2950"/>
      <c r="G91" s="2958"/>
      <c r="H91" s="2959"/>
      <c r="I91" s="2952"/>
      <c r="J91" s="2953">
        <f>IFERROR(VLOOKUP(B91,DG!A:F,6,0),3000)</f>
        <v>3000</v>
      </c>
      <c r="K91" s="2954">
        <f>IF(J91&lt;2000,COUNTIF($B$2:B91,B91),0)</f>
        <v>0</v>
      </c>
      <c r="L91" s="1303"/>
      <c r="M91" s="1378"/>
      <c r="O91" s="1378"/>
    </row>
    <row r="92" spans="1:15" s="1211" customFormat="1" ht="25.2" customHeight="1">
      <c r="A92" s="2945">
        <f>COUNTIF($K$1:K92,1)</f>
        <v>0</v>
      </c>
      <c r="B92" s="2946"/>
      <c r="C92" s="2947"/>
      <c r="D92" s="2948"/>
      <c r="E92" s="2949"/>
      <c r="F92" s="2950"/>
      <c r="G92" s="2951"/>
      <c r="H92" s="2952"/>
      <c r="I92" s="2952"/>
      <c r="J92" s="2953">
        <f>IFERROR(VLOOKUP(B92,DG!A:F,6,0),3000)</f>
        <v>3000</v>
      </c>
      <c r="K92" s="2954">
        <f>IF(J92&lt;2000,COUNTIF($B$2:B92,B92),0)</f>
        <v>0</v>
      </c>
      <c r="L92" s="1791"/>
      <c r="M92" s="1378"/>
      <c r="O92" s="1378"/>
    </row>
    <row r="93" spans="1:15" s="1211" customFormat="1" ht="25.2" customHeight="1">
      <c r="A93" s="2945">
        <f>COUNTIF($K$1:K93,1)</f>
        <v>0</v>
      </c>
      <c r="B93" s="2946"/>
      <c r="C93" s="2947"/>
      <c r="D93" s="2948"/>
      <c r="E93" s="2949"/>
      <c r="F93" s="2950"/>
      <c r="G93" s="2951"/>
      <c r="H93" s="2952"/>
      <c r="I93" s="2952"/>
      <c r="J93" s="2953">
        <f>IFERROR(VLOOKUP(B93,DG!A:F,6,0),3000)</f>
        <v>3000</v>
      </c>
      <c r="K93" s="2954">
        <f>IF(J93&lt;2000,COUNTIF($B$2:B93,B93),0)</f>
        <v>0</v>
      </c>
      <c r="L93" s="1303"/>
      <c r="M93" s="1378"/>
      <c r="O93" s="1378"/>
    </row>
    <row r="94" spans="1:15" s="1211" customFormat="1" ht="25.2" customHeight="1">
      <c r="A94" s="2945">
        <f>COUNTIF($K$1:K94,1)</f>
        <v>0</v>
      </c>
      <c r="B94" s="2946"/>
      <c r="C94" s="2947"/>
      <c r="D94" s="2948"/>
      <c r="E94" s="2949"/>
      <c r="F94" s="2950"/>
      <c r="G94" s="2958"/>
      <c r="H94" s="2952"/>
      <c r="I94" s="2952"/>
      <c r="J94" s="2953">
        <f>IFERROR(VLOOKUP(B94,DG!A:F,6,0),3000)</f>
        <v>3000</v>
      </c>
      <c r="K94" s="2954">
        <f>IF(J94&lt;2000,COUNTIF($B$2:B94,B94),0)</f>
        <v>0</v>
      </c>
      <c r="L94" s="1303"/>
      <c r="M94" s="1378"/>
      <c r="O94" s="1378"/>
    </row>
    <row r="95" spans="1:15" s="1211" customFormat="1" ht="25.2" customHeight="1">
      <c r="A95" s="2945">
        <f>COUNTIF($K$1:K95,1)</f>
        <v>0</v>
      </c>
      <c r="B95" s="2946"/>
      <c r="C95" s="2947"/>
      <c r="D95" s="2948"/>
      <c r="E95" s="2949"/>
      <c r="F95" s="2950"/>
      <c r="G95" s="2951"/>
      <c r="H95" s="2952"/>
      <c r="I95" s="2952"/>
      <c r="J95" s="2953">
        <f>IFERROR(VLOOKUP(B95,DG!A:F,6,0),3000)</f>
        <v>3000</v>
      </c>
      <c r="K95" s="2954">
        <f>IF(J95&lt;2000,COUNTIF($B$2:B95,B95),0)</f>
        <v>0</v>
      </c>
      <c r="L95" s="1303"/>
      <c r="M95" s="1378"/>
      <c r="O95" s="1378"/>
    </row>
    <row r="96" spans="1:15" s="1211" customFormat="1" ht="25.2" customHeight="1">
      <c r="A96" s="2945">
        <f>COUNTIF($K$1:K96,1)</f>
        <v>0</v>
      </c>
      <c r="B96" s="2946"/>
      <c r="C96" s="2947"/>
      <c r="D96" s="2948"/>
      <c r="E96" s="2955"/>
      <c r="F96" s="2946"/>
      <c r="G96" s="2956"/>
      <c r="H96" s="2956"/>
      <c r="I96" s="2956"/>
      <c r="J96" s="2953">
        <f>IFERROR(VLOOKUP(B96,DG!A:F,6,0),3000)</f>
        <v>3000</v>
      </c>
      <c r="K96" s="2954">
        <f>IF(J96&lt;2000,COUNTIF($B$2:B96,B96),0)</f>
        <v>0</v>
      </c>
      <c r="L96" s="1300"/>
      <c r="M96" s="1378"/>
      <c r="O96" s="1378"/>
    </row>
    <row r="97" spans="1:15" s="1211" customFormat="1" ht="25.2" customHeight="1">
      <c r="A97" s="2945">
        <f>COUNTIF($K$1:K97,1)</f>
        <v>0</v>
      </c>
      <c r="B97" s="2946"/>
      <c r="C97" s="2947"/>
      <c r="D97" s="2948"/>
      <c r="E97" s="2949"/>
      <c r="F97" s="2950"/>
      <c r="G97" s="2951"/>
      <c r="H97" s="2952"/>
      <c r="I97" s="2952"/>
      <c r="J97" s="2953">
        <f>IFERROR(VLOOKUP(B97,DG!A:F,6,0),3000)</f>
        <v>3000</v>
      </c>
      <c r="K97" s="2954">
        <f>IF(J97&lt;2000,COUNTIF($B$2:B97,B97),0)</f>
        <v>0</v>
      </c>
      <c r="L97" s="1303"/>
      <c r="M97" s="1378"/>
      <c r="O97" s="1378"/>
    </row>
    <row r="98" spans="1:15" s="1211" customFormat="1" ht="25.2" customHeight="1">
      <c r="A98" s="2945">
        <f>COUNTIF($K$1:K98,1)</f>
        <v>0</v>
      </c>
      <c r="B98" s="2946"/>
      <c r="C98" s="2947"/>
      <c r="D98" s="2948"/>
      <c r="E98" s="2955"/>
      <c r="F98" s="2946"/>
      <c r="G98" s="2956"/>
      <c r="H98" s="2956"/>
      <c r="I98" s="2956"/>
      <c r="J98" s="2953">
        <f>IFERROR(VLOOKUP(B98,DG!A:F,6,0),3000)</f>
        <v>3000</v>
      </c>
      <c r="K98" s="2954">
        <f>IF(J98&lt;2000,COUNTIF($B$2:B98,B98),0)</f>
        <v>0</v>
      </c>
      <c r="L98" s="1303"/>
      <c r="M98" s="1378"/>
      <c r="O98" s="1378"/>
    </row>
    <row r="99" spans="1:15" s="1211" customFormat="1" ht="25.2" customHeight="1">
      <c r="A99" s="2945">
        <f>COUNTIF($K$1:K99,1)</f>
        <v>0</v>
      </c>
      <c r="B99" s="2960"/>
      <c r="C99" s="2961"/>
      <c r="D99" s="2962"/>
      <c r="E99" s="2963"/>
      <c r="F99" s="2964"/>
      <c r="G99" s="2958"/>
      <c r="H99" s="2959"/>
      <c r="I99" s="2952"/>
      <c r="J99" s="2953">
        <f>IFERROR(VLOOKUP(B99,DG!A:F,6,0),3000)</f>
        <v>3000</v>
      </c>
      <c r="K99" s="2954">
        <f>IF(J99&lt;2000,COUNTIF($B$2:B99,B99),0)</f>
        <v>0</v>
      </c>
      <c r="L99" s="1303"/>
      <c r="M99" s="1378"/>
      <c r="O99" s="1378"/>
    </row>
    <row r="100" spans="1:15" s="1211" customFormat="1" ht="25.2" customHeight="1">
      <c r="A100" s="2945">
        <f>COUNTIF($K$1:K100,1)</f>
        <v>0</v>
      </c>
      <c r="B100" s="2960"/>
      <c r="C100" s="2961"/>
      <c r="D100" s="2962"/>
      <c r="E100" s="2974"/>
      <c r="F100" s="2960"/>
      <c r="G100" s="2975"/>
      <c r="H100" s="2975"/>
      <c r="I100" s="2956"/>
      <c r="J100" s="2953">
        <f>IFERROR(VLOOKUP(B100,DG!A:F,6,0),3000)</f>
        <v>3000</v>
      </c>
      <c r="K100" s="2954">
        <f>IF(J100&lt;2000,COUNTIF($B$2:B100,B100),0)</f>
        <v>0</v>
      </c>
      <c r="L100" s="1300"/>
      <c r="M100" s="1378"/>
      <c r="O100" s="1378"/>
    </row>
    <row r="101" spans="1:15" s="1211" customFormat="1" ht="25.2" customHeight="1">
      <c r="A101" s="2945">
        <f>COUNTIF($K$1:K101,1)</f>
        <v>0</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2" customHeight="1">
      <c r="A102" s="2945">
        <f>COUNTIF($K$1:K102,1)</f>
        <v>0</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2" customHeight="1">
      <c r="A103" s="2945">
        <f>COUNTIF($K$1:K103,1)</f>
        <v>0</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2" customHeight="1">
      <c r="A104" s="2945">
        <f>COUNTIF($K$1:K104,1)</f>
        <v>0</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2" customHeight="1">
      <c r="A105" s="2945">
        <f>COUNTIF($K$1:K105,1)</f>
        <v>0</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2" customHeight="1">
      <c r="A106" s="2945">
        <f>COUNTIF($K$1:K106,1)</f>
        <v>0</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2" customHeight="1">
      <c r="A107" s="2945">
        <f>COUNTIF($K$1:K107,1)</f>
        <v>0</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2" customHeight="1">
      <c r="A108" s="2945">
        <f>COUNTIF($K$1:K108,1)</f>
        <v>0</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2" customHeight="1">
      <c r="A109" s="2945">
        <f>COUNTIF($K$1:K109,1)</f>
        <v>0</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2" customHeight="1">
      <c r="A110" s="2945">
        <f>COUNTIF($K$1:K110,1)</f>
        <v>0</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2" customHeight="1">
      <c r="A111" s="2945">
        <f>COUNTIF($K$1:K111,1)</f>
        <v>0</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2" customHeight="1">
      <c r="A112" s="2945">
        <f>COUNTIF($K$1:K112,1)</f>
        <v>0</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2" customHeight="1">
      <c r="A113" s="2945">
        <f>COUNTIF($K$1:K113,1)</f>
        <v>0</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2" customHeight="1">
      <c r="A114" s="2945">
        <f>COUNTIF($K$1:K114,1)</f>
        <v>0</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2" customHeight="1">
      <c r="A115" s="2945">
        <f>COUNTIF($K$1:K115,1)</f>
        <v>0</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2" customHeight="1">
      <c r="A116" s="2945">
        <f>COUNTIF($K$1:K116,1)</f>
        <v>0</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2" customHeight="1">
      <c r="A117" s="2945">
        <f>COUNTIF($K$1:K117,1)</f>
        <v>0</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2" customHeight="1">
      <c r="A118" s="2945">
        <f>COUNTIF($K$1:K118,1)</f>
        <v>0</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2" customHeight="1">
      <c r="A119" s="2945">
        <f>COUNTIF($K$1:K119,1)</f>
        <v>0</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2" customHeight="1">
      <c r="A120" s="2945">
        <f>COUNTIF($K$1:K120,1)</f>
        <v>0</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2" customHeight="1">
      <c r="A121" s="2945">
        <f>COUNTIF($K$1:K121,1)</f>
        <v>0</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2" customHeight="1">
      <c r="A122" s="2945">
        <f>COUNTIF($K$1:K122,1)</f>
        <v>0</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2" customHeight="1">
      <c r="A123" s="2945">
        <f>COUNTIF($K$1:K123,1)</f>
        <v>0</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2" customHeight="1">
      <c r="A124" s="2945">
        <f>COUNTIF($K$1:K124,1)</f>
        <v>0</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2" customHeight="1">
      <c r="A125" s="2945">
        <f>COUNTIF($K$1:K125,1)</f>
        <v>0</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2" customHeight="1">
      <c r="A126" s="2945">
        <f>COUNTIF($K$1:K126,1)</f>
        <v>0</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2" customHeight="1">
      <c r="A127" s="2945">
        <f>COUNTIF($K$1:K127,1)</f>
        <v>0</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2" customHeight="1">
      <c r="A128" s="2945">
        <f>COUNTIF($K$1:K128,1)</f>
        <v>0</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2" customHeight="1">
      <c r="A129" s="2945">
        <f>COUNTIF($K$1:K129,1)</f>
        <v>0</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2" customHeight="1">
      <c r="A130" s="2945">
        <f>COUNTIF($K$1:K130,1)</f>
        <v>0</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2" customHeight="1">
      <c r="A131" s="2945">
        <f>COUNTIF($K$1:K131,1)</f>
        <v>0</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2" customHeight="1">
      <c r="A132" s="2945">
        <f>COUNTIF($K$1:K132,1)</f>
        <v>0</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2" customHeight="1">
      <c r="A133" s="2945">
        <f>COUNTIF($K$1:K133,1)</f>
        <v>0</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2" customHeight="1">
      <c r="A134" s="2945">
        <f>COUNTIF($K$1:K134,1)</f>
        <v>0</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2" customHeight="1">
      <c r="A135" s="2945">
        <f>COUNTIF($K$1:K135,1)</f>
        <v>0</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2" customHeight="1">
      <c r="A136" s="2945">
        <f>COUNTIF($K$1:K136,1)</f>
        <v>0</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2" customHeight="1">
      <c r="A137" s="2945">
        <f>COUNTIF($K$1:K137,1)</f>
        <v>0</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2" customHeight="1">
      <c r="A138" s="2945">
        <f>COUNTIF($K$1:K138,1)</f>
        <v>0</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2" customHeight="1">
      <c r="A139" s="2945">
        <f>COUNTIF($K$1:K139,1)</f>
        <v>0</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2" customHeight="1">
      <c r="A140" s="2945">
        <f>COUNTIF($K$1:K140,1)</f>
        <v>0</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2" customHeight="1">
      <c r="A141" s="2945">
        <f>COUNTIF($K$1:K141,1)</f>
        <v>0</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2" customHeight="1">
      <c r="A142" s="2945">
        <f>COUNTIF($K$1:K142,1)</f>
        <v>0</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2" customHeight="1">
      <c r="A143" s="2945">
        <f>COUNTIF($K$1:K143,1)</f>
        <v>0</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2" customHeight="1">
      <c r="A144" s="2945">
        <f>COUNTIF($K$1:K144,1)</f>
        <v>0</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2" customHeight="1">
      <c r="A145" s="2945">
        <f>COUNTIF($K$1:K145,1)</f>
        <v>0</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2" customHeight="1">
      <c r="A146" s="2945">
        <f>COUNTIF($K$1:K146,1)</f>
        <v>0</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2" customHeight="1">
      <c r="A147" s="2945">
        <f>COUNTIF($K$1:K147,1)</f>
        <v>0</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2" customHeight="1">
      <c r="A148" s="2945">
        <f>COUNTIF($K$1:K148,1)</f>
        <v>0</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2" customHeight="1">
      <c r="A149" s="2945">
        <f>COUNTIF($K$1:K149,1)</f>
        <v>0</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2" customHeight="1">
      <c r="A150" s="2945">
        <f>COUNTIF($K$1:K150,1)</f>
        <v>0</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2" customHeight="1">
      <c r="A151" s="2945">
        <f>COUNTIF($K$1:K151,1)</f>
        <v>0</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2" customHeight="1">
      <c r="A152" s="2945">
        <f>COUNTIF($K$1:K152,1)</f>
        <v>0</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2" customHeight="1">
      <c r="A153" s="2945">
        <f>COUNTIF($K$1:K153,1)</f>
        <v>0</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2" customHeight="1">
      <c r="A154" s="2945">
        <f>COUNTIF($K$1:K154,1)</f>
        <v>0</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2" customHeight="1">
      <c r="A155" s="2945">
        <f>COUNTIF($K$1:K155,1)</f>
        <v>0</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2" customHeight="1">
      <c r="A156" s="2945">
        <f>COUNTIF($K$1:K156,1)</f>
        <v>0</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2" customHeight="1">
      <c r="A157" s="2945">
        <f>COUNTIF($K$1:K157,1)</f>
        <v>0</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2" customHeight="1">
      <c r="A158" s="2945">
        <f>COUNTIF($K$1:K158,1)</f>
        <v>0</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2" customHeight="1">
      <c r="A159" s="2945">
        <f>COUNTIF($K$1:K159,1)</f>
        <v>0</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2" customHeight="1">
      <c r="A160" s="2945">
        <f>COUNTIF($K$1:K160,1)</f>
        <v>0</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2" customHeight="1">
      <c r="A161" s="2945">
        <f>COUNTIF($K$1:K161,1)</f>
        <v>0</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2" customHeight="1">
      <c r="A162" s="2945">
        <f>COUNTIF($K$1:K162,1)</f>
        <v>0</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2" customHeight="1">
      <c r="A163" s="2945">
        <f>COUNTIF($K$1:K163,1)</f>
        <v>0</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2" customHeight="1">
      <c r="A164" s="2945">
        <f>COUNTIF($K$1:K164,1)</f>
        <v>0</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2" customHeight="1">
      <c r="A165" s="2945">
        <f>COUNTIF($K$1:K165,1)</f>
        <v>0</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2" customHeight="1">
      <c r="A166" s="2945">
        <f>COUNTIF($K$1:K166,1)</f>
        <v>0</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2" customHeight="1">
      <c r="A167" s="2945">
        <f>COUNTIF($K$1:K167,1)</f>
        <v>0</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2" customHeight="1">
      <c r="A168" s="2945">
        <f>COUNTIF($K$1:K168,1)</f>
        <v>0</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2" customHeight="1">
      <c r="A169" s="2945">
        <f>COUNTIF($K$1:K169,1)</f>
        <v>0</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2" customHeight="1">
      <c r="A170" s="2945">
        <f>COUNTIF($K$1:K170,1)</f>
        <v>0</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2" customHeight="1">
      <c r="A171" s="2945">
        <f>COUNTIF($K$1:K171,1)</f>
        <v>0</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2" customHeight="1">
      <c r="A172" s="2945">
        <f>COUNTIF($K$1:K172,1)</f>
        <v>0</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2" customHeight="1">
      <c r="A173" s="2945">
        <f>COUNTIF($K$1:K173,1)</f>
        <v>0</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2" customHeight="1">
      <c r="A174" s="2945">
        <f>COUNTIF($K$1:K174,1)</f>
        <v>0</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2" customHeight="1">
      <c r="A175" s="2945">
        <f>COUNTIF($K$1:K175,1)</f>
        <v>0</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2" customHeight="1">
      <c r="A176" s="2945">
        <f>COUNTIF($K$1:K176,1)</f>
        <v>0</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2" customHeight="1">
      <c r="A177" s="2945">
        <f>COUNTIF($K$1:K177,1)</f>
        <v>0</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2" customHeight="1">
      <c r="A178" s="2945">
        <f>COUNTIF($K$1:K178,1)</f>
        <v>0</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2" customHeight="1">
      <c r="A179" s="2945">
        <f>COUNTIF($K$1:K179,1)</f>
        <v>0</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2" customHeight="1">
      <c r="A180" s="2945">
        <f>COUNTIF($K$1:K180,1)</f>
        <v>0</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2" customHeight="1">
      <c r="A181" s="2945">
        <f>COUNTIF($K$1:K181,1)</f>
        <v>0</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2" customHeight="1">
      <c r="A182" s="2945">
        <f>COUNTIF($K$1:K182,1)</f>
        <v>0</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2" customHeight="1">
      <c r="A183" s="2945">
        <f>COUNTIF($K$1:K183,1)</f>
        <v>0</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2" customHeight="1">
      <c r="A184" s="2945">
        <f>COUNTIF($K$1:K184,1)</f>
        <v>0</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2" customHeight="1">
      <c r="A185" s="2945">
        <f>COUNTIF($K$1:K185,1)</f>
        <v>0</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2" customHeight="1">
      <c r="A186" s="2945">
        <f>COUNTIF($K$1:K186,1)</f>
        <v>0</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2" customHeight="1">
      <c r="A187" s="2945">
        <f>COUNTIF($K$1:K187,1)</f>
        <v>0</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2" customHeight="1">
      <c r="A188" s="2945">
        <f>COUNTIF($K$1:K188,1)</f>
        <v>0</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2" customHeight="1">
      <c r="A189" s="2945">
        <f>COUNTIF($K$1:K189,1)</f>
        <v>0</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2" customHeight="1">
      <c r="A190" s="2945">
        <f>COUNTIF($K$1:K190,1)</f>
        <v>0</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2" customHeight="1">
      <c r="A191" s="2945">
        <f>COUNTIF($K$1:K191,1)</f>
        <v>0</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2" customHeight="1">
      <c r="A192" s="2945">
        <f>COUNTIF($K$1:K192,1)</f>
        <v>0</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2" customHeight="1">
      <c r="A193" s="2945">
        <f>COUNTIF($K$1:K193,1)</f>
        <v>0</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2" customHeight="1">
      <c r="A194" s="2945">
        <f>COUNTIF($K$1:K194,1)</f>
        <v>0</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2" customHeight="1">
      <c r="A195" s="2945">
        <f>COUNTIF($K$1:K195,1)</f>
        <v>0</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2" customHeight="1">
      <c r="A196" s="2945">
        <f>COUNTIF($K$1:K196,1)</f>
        <v>0</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2" customHeight="1">
      <c r="A197" s="2945">
        <f>COUNTIF($K$1:K197,1)</f>
        <v>0</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2" customHeight="1">
      <c r="A198" s="2945">
        <f>COUNTIF($K$1:K198,1)</f>
        <v>0</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2" customHeight="1">
      <c r="A199" s="2945">
        <f>COUNTIF($K$1:K199,1)</f>
        <v>0</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2" customHeight="1">
      <c r="A200" s="2945">
        <f>COUNTIF($K$1:K200,1)</f>
        <v>0</v>
      </c>
      <c r="B200" s="2946"/>
      <c r="C200" s="2947"/>
      <c r="D200" s="2948"/>
      <c r="E200" s="2949"/>
      <c r="F200" s="2950"/>
      <c r="G200" s="2951"/>
      <c r="H200" s="2952"/>
      <c r="I200" s="2952"/>
      <c r="J200" s="2953">
        <f>IFERROR(VLOOKUP(B200,DG!A:F,6,0),3000)</f>
        <v>3000</v>
      </c>
      <c r="K200" s="2954">
        <f>IF(J200&lt;2000,COUNTIF($B$2:B200,B200),0)</f>
        <v>0</v>
      </c>
      <c r="L200" s="1303"/>
      <c r="N200" s="1211"/>
    </row>
    <row r="201" spans="1:15" ht="25.2" customHeight="1">
      <c r="A201" s="2945">
        <f>COUNTIF($K$1:K201,1)</f>
        <v>0</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2" customHeight="1">
      <c r="A202" s="2945">
        <f>COUNTIF($K$1:K202,1)</f>
        <v>0</v>
      </c>
      <c r="B202" s="2965"/>
      <c r="C202" s="2966"/>
      <c r="D202" s="2967"/>
      <c r="E202" s="2968"/>
      <c r="F202" s="2965"/>
      <c r="G202" s="2957"/>
      <c r="H202" s="2957"/>
      <c r="I202" s="2981"/>
      <c r="J202" s="2953">
        <f>IFERROR(VLOOKUP(B202,DG!A:F,6,0),3000)</f>
        <v>3000</v>
      </c>
      <c r="K202" s="2954">
        <f>IF(J202&lt;2000,COUNTIF($B$2:B202,B202),0)</f>
        <v>0</v>
      </c>
    </row>
    <row r="203" spans="1:15" ht="25.2" customHeight="1">
      <c r="A203" s="2945">
        <f>COUNTIF($K$1:K203,1)</f>
        <v>0</v>
      </c>
      <c r="B203" s="2965"/>
      <c r="C203" s="2966"/>
      <c r="D203" s="2967"/>
      <c r="E203" s="2968"/>
      <c r="F203" s="2965"/>
      <c r="G203" s="2957"/>
      <c r="H203" s="2957"/>
      <c r="I203" s="2981"/>
      <c r="J203" s="2953">
        <f>IFERROR(VLOOKUP(B203,DG!A:F,6,0),3000)</f>
        <v>3000</v>
      </c>
      <c r="K203" s="2954">
        <f>IF(J203&lt;2000,COUNTIF($B$2:B203,B203),0)</f>
        <v>0</v>
      </c>
      <c r="N203" s="1211"/>
    </row>
    <row r="204" spans="1:15" ht="25.2" customHeight="1">
      <c r="A204" s="2945">
        <f>COUNTIF($K$1:K204,1)</f>
        <v>0</v>
      </c>
      <c r="B204" s="2946"/>
      <c r="C204" s="2947"/>
      <c r="D204" s="2948"/>
      <c r="E204" s="2949"/>
      <c r="F204" s="2950"/>
      <c r="G204" s="2951"/>
      <c r="H204" s="2952"/>
      <c r="I204" s="2952"/>
      <c r="J204" s="2953">
        <f>IFERROR(VLOOKUP(B204,DG!A:F,6,0),3000)</f>
        <v>3000</v>
      </c>
      <c r="K204" s="2954">
        <f>IF(J204&lt;2000,COUNTIF($B$2:B204,B204),0)</f>
        <v>0</v>
      </c>
      <c r="L204" s="1303"/>
      <c r="N204" s="1211"/>
    </row>
    <row r="205" spans="1:15" ht="25.2" customHeight="1">
      <c r="A205" s="2945">
        <f>COUNTIF($K$1:K205,1)</f>
        <v>0</v>
      </c>
      <c r="B205" s="2946"/>
      <c r="C205" s="2947"/>
      <c r="D205" s="2948"/>
      <c r="E205" s="2949"/>
      <c r="F205" s="2950"/>
      <c r="G205" s="2951"/>
      <c r="H205" s="2952"/>
      <c r="I205" s="2952"/>
      <c r="J205" s="2953">
        <f>IFERROR(VLOOKUP(B205,DG!A:F,6,0),3000)</f>
        <v>3000</v>
      </c>
      <c r="K205" s="2954">
        <f>IF(J205&lt;2000,COUNTIF($B$2:B205,B205),0)</f>
        <v>0</v>
      </c>
      <c r="L205" s="1303"/>
      <c r="N205" s="1211"/>
    </row>
    <row r="206" spans="1:15" ht="25.2" customHeight="1">
      <c r="A206" s="2945">
        <f>COUNTIF($K$1:K206,1)</f>
        <v>0</v>
      </c>
      <c r="B206" s="2960"/>
      <c r="C206" s="2961"/>
      <c r="D206" s="2962"/>
      <c r="E206" s="2974"/>
      <c r="F206" s="2960"/>
      <c r="G206" s="2975"/>
      <c r="H206" s="2975"/>
      <c r="I206" s="2956"/>
      <c r="J206" s="2953">
        <f>IFERROR(VLOOKUP(B206,DG!A:F,6,0),3000)</f>
        <v>3000</v>
      </c>
      <c r="K206" s="2954">
        <f>IF(J206&lt;2000,COUNTIF($B$2:B206,B206),0)</f>
        <v>0</v>
      </c>
      <c r="L206" s="1791"/>
      <c r="N206" s="1211"/>
    </row>
    <row r="207" spans="1:15" ht="25.2" customHeight="1">
      <c r="A207" s="2945">
        <f>COUNTIF($K$1:K207,1)</f>
        <v>0</v>
      </c>
      <c r="B207" s="2946"/>
      <c r="C207" s="2947"/>
      <c r="D207" s="2948"/>
      <c r="E207" s="2949"/>
      <c r="F207" s="2950"/>
      <c r="G207" s="2951"/>
      <c r="H207" s="2952"/>
      <c r="I207" s="2952"/>
      <c r="J207" s="2953">
        <f>IFERROR(VLOOKUP(B207,DG!A:F,6,0),3000)</f>
        <v>3000</v>
      </c>
      <c r="K207" s="2954">
        <f>IF(J207&lt;2000,COUNTIF($B$2:B207,B207),0)</f>
        <v>0</v>
      </c>
      <c r="L207" s="1303"/>
    </row>
    <row r="208" spans="1:15" ht="25.2" customHeight="1">
      <c r="A208" s="2945">
        <f>COUNTIF($K$1:K208,1)</f>
        <v>0</v>
      </c>
      <c r="B208" s="2965"/>
      <c r="C208" s="2966"/>
      <c r="D208" s="2967"/>
      <c r="E208" s="2968"/>
      <c r="F208" s="2965"/>
      <c r="G208" s="2957"/>
      <c r="H208" s="2957"/>
      <c r="I208" s="2957"/>
      <c r="J208" s="2953">
        <f>IFERROR(VLOOKUP(B208,DG!A:F,6,0),3000)</f>
        <v>3000</v>
      </c>
      <c r="K208" s="2954">
        <f>IF(J208&lt;2000,COUNTIF($B$2:B208,B208),0)</f>
        <v>0</v>
      </c>
    </row>
    <row r="209" spans="1:15" ht="25.2" customHeight="1">
      <c r="A209" s="2945">
        <f>COUNTIF($K$1:K209,1)</f>
        <v>0</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2" customHeight="1">
      <c r="A210" s="2945">
        <f>COUNTIF($K$1:K210,1)</f>
        <v>0</v>
      </c>
      <c r="B210" s="2946"/>
      <c r="C210" s="2947"/>
      <c r="D210" s="2948"/>
      <c r="E210" s="2949"/>
      <c r="F210" s="2950"/>
      <c r="G210" s="2951"/>
      <c r="H210" s="2952"/>
      <c r="I210" s="2952"/>
      <c r="J210" s="2953">
        <f>IFERROR(VLOOKUP(B210,DG!A:F,6,0),3000)</f>
        <v>3000</v>
      </c>
      <c r="K210" s="2954">
        <f>IF(J210&lt;2000,COUNTIF($B$2:B210,B210),0)</f>
        <v>0</v>
      </c>
      <c r="L210" s="1303"/>
    </row>
    <row r="211" spans="1:15" ht="25.2" customHeight="1">
      <c r="A211" s="2945">
        <f>COUNTIF($K$1:K211,1)</f>
        <v>0</v>
      </c>
      <c r="B211" s="2946"/>
      <c r="C211" s="2947"/>
      <c r="D211" s="2948"/>
      <c r="E211" s="2949"/>
      <c r="F211" s="2950"/>
      <c r="G211" s="2951"/>
      <c r="H211" s="2952"/>
      <c r="I211" s="2952"/>
      <c r="J211" s="2953">
        <f>IFERROR(VLOOKUP(B211,DG!A:F,6,0),3000)</f>
        <v>3000</v>
      </c>
      <c r="K211" s="2954">
        <f>IF(J211&lt;2000,COUNTIF($B$2:B211,B211),0)</f>
        <v>0</v>
      </c>
      <c r="L211" s="1303"/>
      <c r="N211" s="1211"/>
    </row>
    <row r="212" spans="1:15" ht="25.2" customHeight="1">
      <c r="A212" s="2945">
        <f>COUNTIF($K$1:K212,1)</f>
        <v>0</v>
      </c>
      <c r="B212" s="2965"/>
      <c r="C212" s="2966"/>
      <c r="D212" s="2967"/>
      <c r="E212" s="2968"/>
      <c r="F212" s="2965"/>
      <c r="G212" s="2957"/>
      <c r="H212" s="2957"/>
      <c r="I212" s="2957"/>
      <c r="J212" s="2953">
        <f>IFERROR(VLOOKUP(B212,DG!A:F,6,0),3000)</f>
        <v>3000</v>
      </c>
      <c r="K212" s="2954">
        <f>IF(J212&lt;2000,COUNTIF($B$2:B212,B212),0)</f>
        <v>0</v>
      </c>
    </row>
    <row r="213" spans="1:15" ht="25.2" customHeight="1">
      <c r="A213" s="2945">
        <f>COUNTIF($K$1:K213,1)</f>
        <v>0</v>
      </c>
      <c r="B213" s="2946"/>
      <c r="C213" s="2947"/>
      <c r="D213" s="2948"/>
      <c r="E213" s="2949"/>
      <c r="F213" s="2950"/>
      <c r="G213" s="2951"/>
      <c r="H213" s="2952"/>
      <c r="I213" s="2952"/>
      <c r="J213" s="2953">
        <f>IFERROR(VLOOKUP(B213,DG!A:F,6,0),3000)</f>
        <v>3000</v>
      </c>
      <c r="K213" s="2954">
        <f>IF(J213&lt;2000,COUNTIF($B$2:B213,B213),0)</f>
        <v>0</v>
      </c>
      <c r="L213" s="1303"/>
      <c r="N213" s="1211"/>
    </row>
    <row r="214" spans="1:15" ht="25.2" customHeight="1">
      <c r="A214" s="2945">
        <f>COUNTIF($K$1:K214,1)</f>
        <v>0</v>
      </c>
      <c r="B214" s="2946"/>
      <c r="C214" s="2947"/>
      <c r="D214" s="2948"/>
      <c r="E214" s="2949"/>
      <c r="F214" s="2950"/>
      <c r="G214" s="2951"/>
      <c r="H214" s="2952"/>
      <c r="I214" s="2952"/>
      <c r="J214" s="2953">
        <f>IFERROR(VLOOKUP(B214,DG!A:F,6,0),3000)</f>
        <v>3000</v>
      </c>
      <c r="K214" s="2954">
        <f>IF(J214&lt;2000,COUNTIF($B$2:B214,B214),0)</f>
        <v>0</v>
      </c>
      <c r="L214" s="1303"/>
      <c r="N214" s="1211"/>
    </row>
    <row r="215" spans="1:15" ht="25.2" customHeight="1">
      <c r="A215" s="2945">
        <f>COUNTIF($K$1:K215,1)</f>
        <v>0</v>
      </c>
      <c r="B215" s="2960"/>
      <c r="C215" s="2961"/>
      <c r="D215" s="2962"/>
      <c r="E215" s="2963"/>
      <c r="F215" s="2964"/>
      <c r="G215" s="2958"/>
      <c r="H215" s="2952"/>
      <c r="I215" s="2952"/>
      <c r="J215" s="2953">
        <f>IFERROR(VLOOKUP(B215,DG!A:F,6,0),3000)</f>
        <v>3000</v>
      </c>
      <c r="K215" s="2954">
        <f>IF(J215&lt;2000,COUNTIF($B$2:B215,B215),0)</f>
        <v>0</v>
      </c>
      <c r="L215" s="1303"/>
    </row>
    <row r="216" spans="1:15" ht="25.2" customHeight="1">
      <c r="A216" s="2945">
        <f>COUNTIF($K$1:K216,1)</f>
        <v>0</v>
      </c>
      <c r="B216" s="2960"/>
      <c r="C216" s="2961"/>
      <c r="D216" s="2962"/>
      <c r="E216" s="2963"/>
      <c r="F216" s="2964"/>
      <c r="G216" s="2951"/>
      <c r="H216" s="2952"/>
      <c r="I216" s="2952"/>
      <c r="J216" s="2953">
        <f>IFERROR(VLOOKUP(B216,DG!A:F,6,0),3000)</f>
        <v>3000</v>
      </c>
      <c r="K216" s="2954">
        <f>IF(J216&lt;2000,COUNTIF($B$2:B216,B216),0)</f>
        <v>0</v>
      </c>
      <c r="L216" s="1303"/>
      <c r="N216" s="1211"/>
    </row>
    <row r="217" spans="1:15" ht="25.2" customHeight="1">
      <c r="A217" s="2945">
        <f>COUNTIF($K$1:K217,1)</f>
        <v>0</v>
      </c>
      <c r="B217" s="2946"/>
      <c r="C217" s="2947"/>
      <c r="D217" s="2948"/>
      <c r="E217" s="2949"/>
      <c r="F217" s="2950"/>
      <c r="G217" s="2969"/>
      <c r="H217" s="2970"/>
      <c r="I217" s="2970"/>
      <c r="J217" s="2953">
        <f>IFERROR(VLOOKUP(B217,DG!A:F,6,0),3000)</f>
        <v>3000</v>
      </c>
      <c r="K217" s="2954">
        <f>IF(J217&lt;2000,COUNTIF($B$2:B217,B217),0)</f>
        <v>0</v>
      </c>
      <c r="L217" s="1303"/>
    </row>
    <row r="218" spans="1:15" ht="25.2" customHeight="1">
      <c r="A218" s="2945">
        <f>COUNTIF($K$1:K218,1)</f>
        <v>0</v>
      </c>
      <c r="B218" s="2946"/>
      <c r="C218" s="2947"/>
      <c r="D218" s="2948"/>
      <c r="E218" s="2955"/>
      <c r="F218" s="2946"/>
      <c r="G218" s="2956"/>
      <c r="H218" s="2956"/>
      <c r="I218" s="2956"/>
      <c r="J218" s="2953">
        <f>IFERROR(VLOOKUP(B218,DG!A:F,6,0),3000)</f>
        <v>3000</v>
      </c>
      <c r="K218" s="2954">
        <f>IF(J218&lt;2000,COUNTIF($B$2:B218,B218),0)</f>
        <v>0</v>
      </c>
    </row>
    <row r="219" spans="1:15" ht="25.2" customHeight="1">
      <c r="A219" s="2945">
        <f>COUNTIF($K$1:K219,1)</f>
        <v>0</v>
      </c>
      <c r="B219" s="2960"/>
      <c r="C219" s="2961"/>
      <c r="D219" s="2962"/>
      <c r="E219" s="2963"/>
      <c r="F219" s="2964"/>
      <c r="G219" s="2958"/>
      <c r="H219" s="2952"/>
      <c r="I219" s="2952"/>
      <c r="J219" s="2953">
        <f>IFERROR(VLOOKUP(B219,DG!A:F,6,0),3000)</f>
        <v>3000</v>
      </c>
      <c r="K219" s="2954">
        <f>IF(J219&lt;2000,COUNTIF($B$2:B219,B219),0)</f>
        <v>0</v>
      </c>
      <c r="L219" s="1303"/>
    </row>
    <row r="220" spans="1:15" ht="25.2" customHeight="1">
      <c r="A220" s="2945">
        <f>COUNTIF($K$1:K220,1)</f>
        <v>0</v>
      </c>
      <c r="B220" s="2946"/>
      <c r="C220" s="2947"/>
      <c r="D220" s="2948"/>
      <c r="E220" s="2949"/>
      <c r="F220" s="2950"/>
      <c r="G220" s="2951"/>
      <c r="H220" s="2952"/>
      <c r="I220" s="2952"/>
      <c r="J220" s="2953">
        <f>IFERROR(VLOOKUP(B220,DG!A:F,6,0),3000)</f>
        <v>3000</v>
      </c>
      <c r="K220" s="2954">
        <f>IF(J220&lt;2000,COUNTIF($B$2:B220,B220),0)</f>
        <v>0</v>
      </c>
      <c r="L220" s="1303"/>
      <c r="N220" s="1211"/>
    </row>
    <row r="221" spans="1:15" ht="25.2" customHeight="1">
      <c r="A221" s="2945">
        <f>COUNTIF($K$1:K221,1)</f>
        <v>0</v>
      </c>
      <c r="B221" s="2946"/>
      <c r="C221" s="2947"/>
      <c r="D221" s="2948"/>
      <c r="E221" s="2949"/>
      <c r="F221" s="2950"/>
      <c r="G221" s="2951"/>
      <c r="H221" s="2952"/>
      <c r="I221" s="2952"/>
      <c r="J221" s="2953">
        <f>IFERROR(VLOOKUP(B221,DG!A:F,6,0),3000)</f>
        <v>3000</v>
      </c>
      <c r="K221" s="2954">
        <f>IF(J221&lt;2000,COUNTIF($B$2:B221,B221),0)</f>
        <v>0</v>
      </c>
      <c r="L221" s="1303"/>
    </row>
    <row r="222" spans="1:15" ht="25.2" customHeight="1">
      <c r="A222" s="2945">
        <f>COUNTIF($K$1:K222,1)</f>
        <v>0</v>
      </c>
      <c r="B222" s="2946"/>
      <c r="C222" s="2947"/>
      <c r="D222" s="2948"/>
      <c r="E222" s="2949"/>
      <c r="F222" s="2950"/>
      <c r="G222" s="2951"/>
      <c r="H222" s="2952"/>
      <c r="I222" s="2952"/>
      <c r="J222" s="2953">
        <f>IFERROR(VLOOKUP(B222,DG!A:F,6,0),3000)</f>
        <v>3000</v>
      </c>
      <c r="K222" s="2954">
        <f>IF(J222&lt;2000,COUNTIF($B$2:B222,B222),0)</f>
        <v>0</v>
      </c>
      <c r="L222" s="1303"/>
    </row>
    <row r="223" spans="1:15" ht="25.2" customHeight="1">
      <c r="A223" s="2945">
        <f>COUNTIF($K$1:K223,1)</f>
        <v>0</v>
      </c>
      <c r="B223" s="2946"/>
      <c r="C223" s="2947"/>
      <c r="D223" s="2948"/>
      <c r="E223" s="2949"/>
      <c r="F223" s="2950"/>
      <c r="G223" s="2951"/>
      <c r="H223" s="2952"/>
      <c r="I223" s="2952"/>
      <c r="J223" s="2953">
        <f>IFERROR(VLOOKUP(B223,DG!A:F,6,0),3000)</f>
        <v>3000</v>
      </c>
      <c r="K223" s="2954">
        <f>IF(J223&lt;2000,COUNTIF($B$2:B223,B223),0)</f>
        <v>0</v>
      </c>
      <c r="L223" s="1303"/>
    </row>
    <row r="224" spans="1:15" ht="25.2" customHeight="1">
      <c r="A224" s="2945">
        <f>COUNTIF($K$1:K224,1)</f>
        <v>0</v>
      </c>
      <c r="B224" s="2960"/>
      <c r="C224" s="2961"/>
      <c r="D224" s="2962"/>
      <c r="E224" s="2974"/>
      <c r="F224" s="2960"/>
      <c r="G224" s="2975"/>
      <c r="H224" s="2975"/>
      <c r="I224" s="2957"/>
      <c r="J224" s="2953">
        <f>IFERROR(VLOOKUP(B224,DG!A:F,6,0),3000)</f>
        <v>3000</v>
      </c>
      <c r="K224" s="2954">
        <f>IF(J224&lt;2000,COUNTIF($B$2:B224,B224),0)</f>
        <v>0</v>
      </c>
    </row>
    <row r="225" spans="1:15" ht="25.2" customHeight="1">
      <c r="A225" s="2945">
        <f>COUNTIF($K$1:K225,1)</f>
        <v>0</v>
      </c>
      <c r="B225" s="2946"/>
      <c r="C225" s="2947"/>
      <c r="D225" s="2948"/>
      <c r="E225" s="2949"/>
      <c r="F225" s="2950"/>
      <c r="G225" s="2951"/>
      <c r="H225" s="2952"/>
      <c r="I225" s="2952"/>
      <c r="J225" s="2953">
        <f>IFERROR(VLOOKUP(B225,DG!A:F,6,0),3000)</f>
        <v>3000</v>
      </c>
      <c r="K225" s="2954">
        <f>IF(J225&lt;2000,COUNTIF($B$2:B225,B225),0)</f>
        <v>0</v>
      </c>
      <c r="L225" s="1303"/>
    </row>
    <row r="226" spans="1:15" ht="25.2" customHeight="1">
      <c r="A226" s="2945">
        <f>COUNTIF($K$1:K226,1)</f>
        <v>0</v>
      </c>
      <c r="B226" s="2946"/>
      <c r="C226" s="2947"/>
      <c r="D226" s="2948"/>
      <c r="E226" s="2949"/>
      <c r="F226" s="2950"/>
      <c r="G226" s="2951"/>
      <c r="H226" s="2952"/>
      <c r="I226" s="2952"/>
      <c r="J226" s="2953">
        <f>IFERROR(VLOOKUP(B226,DG!A:F,6,0),3000)</f>
        <v>3000</v>
      </c>
      <c r="K226" s="2954">
        <f>IF(J226&lt;2000,COUNTIF($B$2:B226,B226),0)</f>
        <v>0</v>
      </c>
      <c r="L226" s="1303"/>
    </row>
    <row r="227" spans="1:15" ht="25.2" customHeight="1">
      <c r="A227" s="2945">
        <f>COUNTIF($K$1:K227,1)</f>
        <v>0</v>
      </c>
      <c r="B227" s="2960"/>
      <c r="C227" s="2961"/>
      <c r="D227" s="2962"/>
      <c r="E227" s="2963"/>
      <c r="F227" s="2964"/>
      <c r="G227" s="2958"/>
      <c r="H227" s="2959"/>
      <c r="I227" s="2952"/>
      <c r="J227" s="2953">
        <f>IFERROR(VLOOKUP(B227,DG!A:F,6,0),3000)</f>
        <v>3000</v>
      </c>
      <c r="K227" s="2954">
        <f>IF(J227&lt;2000,COUNTIF($B$2:B227,B227),0)</f>
        <v>0</v>
      </c>
      <c r="L227" s="1303"/>
    </row>
    <row r="228" spans="1:15" ht="25.2" customHeight="1">
      <c r="A228" s="2945">
        <f>COUNTIF($K$1:K228,1)</f>
        <v>0</v>
      </c>
      <c r="B228" s="2946"/>
      <c r="C228" s="2947"/>
      <c r="D228" s="2948"/>
      <c r="E228" s="2949"/>
      <c r="F228" s="2950"/>
      <c r="G228" s="2951"/>
      <c r="H228" s="2952"/>
      <c r="I228" s="2952"/>
      <c r="J228" s="2953">
        <f>IFERROR(VLOOKUP(B228,DG!A:F,6,0),3000)</f>
        <v>3000</v>
      </c>
      <c r="K228" s="2954">
        <f>IF(J228&lt;2000,COUNTIF($B$2:B228,B228),0)</f>
        <v>0</v>
      </c>
      <c r="L228" s="1303"/>
    </row>
    <row r="229" spans="1:15" ht="25.2" customHeight="1">
      <c r="A229" s="2945">
        <f>COUNTIF($K$1:K229,1)</f>
        <v>0</v>
      </c>
      <c r="B229" s="2946"/>
      <c r="C229" s="2947"/>
      <c r="D229" s="2948"/>
      <c r="E229" s="2949"/>
      <c r="F229" s="2950"/>
      <c r="G229" s="2958"/>
      <c r="H229" s="2959"/>
      <c r="I229" s="2973"/>
      <c r="J229" s="2953">
        <f>IFERROR(VLOOKUP(B229,DG!A:F,6,0),3000)</f>
        <v>3000</v>
      </c>
      <c r="K229" s="2954">
        <f>IF(J229&lt;2000,COUNTIF($B$2:B229,B229),0)</f>
        <v>0</v>
      </c>
      <c r="L229" s="1303"/>
    </row>
    <row r="230" spans="1:15" ht="25.2" customHeight="1">
      <c r="A230" s="2945">
        <f>COUNTIF($K$1:K230,1)</f>
        <v>0</v>
      </c>
      <c r="B230" s="2965"/>
      <c r="C230" s="2966"/>
      <c r="D230" s="2967"/>
      <c r="E230" s="2968"/>
      <c r="F230" s="2965"/>
      <c r="G230" s="2957"/>
      <c r="H230" s="2957"/>
      <c r="I230" s="2957"/>
      <c r="J230" s="2953">
        <f>IFERROR(VLOOKUP(B230,DG!A:F,6,0),3000)</f>
        <v>3000</v>
      </c>
      <c r="K230" s="2954">
        <f>IF(J230&lt;2000,COUNTIF($B$2:B230,B230),0)</f>
        <v>0</v>
      </c>
    </row>
    <row r="231" spans="1:15" ht="25.2" customHeight="1">
      <c r="A231" s="2945">
        <f>COUNTIF($K$1:K231,1)</f>
        <v>0</v>
      </c>
      <c r="B231" s="2960"/>
      <c r="C231" s="2961"/>
      <c r="D231" s="2962"/>
      <c r="E231" s="2963"/>
      <c r="F231" s="2964"/>
      <c r="G231" s="2958"/>
      <c r="H231" s="2952"/>
      <c r="I231" s="2952"/>
      <c r="J231" s="2953">
        <f>IFERROR(VLOOKUP(B231,DG!A:F,6,0),3000)</f>
        <v>3000</v>
      </c>
      <c r="K231" s="2954">
        <f>IF(J231&lt;2000,COUNTIF($B$2:B231,B231),0)</f>
        <v>0</v>
      </c>
      <c r="L231" s="1303"/>
    </row>
    <row r="232" spans="1:15" ht="25.2" customHeight="1">
      <c r="A232" s="2945">
        <f>COUNTIF($K$1:K232,1)</f>
        <v>0</v>
      </c>
      <c r="B232" s="2946"/>
      <c r="C232" s="2947"/>
      <c r="D232" s="2948"/>
      <c r="E232" s="2949"/>
      <c r="F232" s="2950"/>
      <c r="G232" s="2951"/>
      <c r="H232" s="2952"/>
      <c r="I232" s="2952"/>
      <c r="J232" s="2953">
        <f>IFERROR(VLOOKUP(B232,DG!A:F,6,0),3000)</f>
        <v>3000</v>
      </c>
      <c r="K232" s="2954">
        <f>IF(J232&lt;2000,COUNTIF($B$2:B232,B232),0)</f>
        <v>0</v>
      </c>
      <c r="L232" s="1303"/>
    </row>
    <row r="233" spans="1:15" ht="25.2" customHeight="1">
      <c r="A233" s="2945">
        <f>COUNTIF($K$1:K233,1)</f>
        <v>0</v>
      </c>
      <c r="B233" s="2946"/>
      <c r="C233" s="2947"/>
      <c r="D233" s="2948"/>
      <c r="E233" s="2949"/>
      <c r="F233" s="2950"/>
      <c r="G233" s="2951"/>
      <c r="H233" s="2952"/>
      <c r="I233" s="2952"/>
      <c r="J233" s="2953">
        <f>IFERROR(VLOOKUP(B233,DG!A:F,6,0),3000)</f>
        <v>3000</v>
      </c>
      <c r="K233" s="2954">
        <f>IF(J233&lt;2000,COUNTIF($B$2:B233,B233),0)</f>
        <v>0</v>
      </c>
      <c r="L233" s="1303"/>
    </row>
    <row r="234" spans="1:15" ht="25.2" customHeight="1">
      <c r="A234" s="2945">
        <f>COUNTIF($K$1:K234,1)</f>
        <v>0</v>
      </c>
      <c r="B234" s="2946"/>
      <c r="C234" s="2947"/>
      <c r="D234" s="2948"/>
      <c r="E234" s="2949"/>
      <c r="F234" s="2950"/>
      <c r="G234" s="2951"/>
      <c r="H234" s="2952"/>
      <c r="I234" s="2952"/>
      <c r="J234" s="2953">
        <f>IFERROR(VLOOKUP(B234,DG!A:F,6,0),3000)</f>
        <v>3000</v>
      </c>
      <c r="K234" s="2954">
        <f>IF(J234&lt;2000,COUNTIF($B$2:B234,B234),0)</f>
        <v>0</v>
      </c>
      <c r="L234" s="1303"/>
    </row>
    <row r="235" spans="1:15" ht="25.2" customHeight="1">
      <c r="A235" s="2945">
        <f>COUNTIF($K$1:K235,1)</f>
        <v>0</v>
      </c>
      <c r="B235" s="2946"/>
      <c r="C235" s="2947"/>
      <c r="D235" s="2948"/>
      <c r="E235" s="2949"/>
      <c r="F235" s="2950"/>
      <c r="G235" s="2951"/>
      <c r="H235" s="2952"/>
      <c r="I235" s="2970"/>
      <c r="J235" s="2953">
        <f>IFERROR(VLOOKUP(B235,DG!A:F,6,0),3000)</f>
        <v>3000</v>
      </c>
      <c r="K235" s="2954">
        <f>IF(J235&lt;2000,COUNTIF($B$2:B235,B235),0)</f>
        <v>0</v>
      </c>
      <c r="L235" s="1303"/>
    </row>
    <row r="236" spans="1:15" ht="25.2" customHeight="1">
      <c r="A236" s="2945">
        <f>COUNTIF($K$1:K236,1)</f>
        <v>0</v>
      </c>
      <c r="B236" s="2946"/>
      <c r="C236" s="2947"/>
      <c r="D236" s="2948"/>
      <c r="E236" s="2949"/>
      <c r="F236" s="2950"/>
      <c r="G236" s="2951"/>
      <c r="H236" s="2952"/>
      <c r="I236" s="2970"/>
      <c r="J236" s="2953">
        <f>IFERROR(VLOOKUP(B236,DG!A:F,6,0),3000)</f>
        <v>3000</v>
      </c>
      <c r="K236" s="2954">
        <f>IF(J236&lt;2000,COUNTIF($B$2:B236,B236),0)</f>
        <v>0</v>
      </c>
      <c r="L236" s="1791"/>
    </row>
    <row r="237" spans="1:15" ht="25.2" customHeight="1">
      <c r="A237" s="2945">
        <f>COUNTIF($K$1:K237,1)</f>
        <v>0</v>
      </c>
      <c r="B237" s="2965"/>
      <c r="C237" s="2966"/>
      <c r="D237" s="2967"/>
      <c r="E237" s="2968"/>
      <c r="F237" s="2965"/>
      <c r="G237" s="2957"/>
      <c r="H237" s="2957"/>
      <c r="I237" s="2957"/>
      <c r="J237" s="2953">
        <f>IFERROR(VLOOKUP(B237,DG!A:F,6,0),3000)</f>
        <v>3000</v>
      </c>
      <c r="K237" s="2954">
        <f>IF(J237&lt;2000,COUNTIF($B$2:B237,B237),0)</f>
        <v>0</v>
      </c>
      <c r="L237" s="1991"/>
    </row>
    <row r="238" spans="1:15" ht="25.2" customHeight="1">
      <c r="A238" s="2945">
        <f>COUNTIF($K$1:K238,1)</f>
        <v>0</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2" customHeight="1">
      <c r="A239" s="2945">
        <f>COUNTIF($K$1:K239,1)</f>
        <v>0</v>
      </c>
      <c r="B239" s="2946"/>
      <c r="C239" s="2947"/>
      <c r="D239" s="2948"/>
      <c r="E239" s="2949"/>
      <c r="F239" s="2950"/>
      <c r="G239" s="2951"/>
      <c r="H239" s="2952"/>
      <c r="I239" s="2952"/>
      <c r="J239" s="2953">
        <f>IFERROR(VLOOKUP(B239,DG!A:F,6,0),3000)</f>
        <v>3000</v>
      </c>
      <c r="K239" s="2954">
        <f>IF(J239&lt;2000,COUNTIF($B$2:B239,B239),0)</f>
        <v>0</v>
      </c>
      <c r="L239" s="1791"/>
    </row>
    <row r="240" spans="1:15" ht="25.2" customHeight="1">
      <c r="A240" s="2945">
        <f>COUNTIF($K$1:K240,1)</f>
        <v>0</v>
      </c>
      <c r="B240" s="2946"/>
      <c r="C240" s="2947"/>
      <c r="D240" s="2948"/>
      <c r="E240" s="2949"/>
      <c r="F240" s="2950"/>
      <c r="G240" s="2951"/>
      <c r="H240" s="2952"/>
      <c r="I240" s="2952"/>
      <c r="J240" s="2953">
        <f>IFERROR(VLOOKUP(B240,DG!A:F,6,0),3000)</f>
        <v>3000</v>
      </c>
      <c r="K240" s="2954">
        <f>IF(J240&lt;2000,COUNTIF($B$2:B240,B240),0)</f>
        <v>0</v>
      </c>
      <c r="L240" s="1303"/>
      <c r="N240" s="1211"/>
    </row>
    <row r="241" spans="1:15" ht="25.2" customHeight="1">
      <c r="A241" s="2945">
        <f>COUNTIF($K$1:K241,1)</f>
        <v>0</v>
      </c>
      <c r="B241" s="2965"/>
      <c r="C241" s="2966"/>
      <c r="D241" s="2967"/>
      <c r="E241" s="2971"/>
      <c r="F241" s="2972"/>
      <c r="G241" s="2969"/>
      <c r="H241" s="2970"/>
      <c r="I241" s="2970"/>
      <c r="J241" s="2953">
        <f>IFERROR(VLOOKUP(B241,DG!A:F,6,0),3000)</f>
        <v>3000</v>
      </c>
      <c r="K241" s="2954">
        <f>IF(J241&lt;2000,COUNTIF($B$2:B241,B241),0)</f>
        <v>0</v>
      </c>
      <c r="L241" s="1303"/>
    </row>
    <row r="242" spans="1:15" ht="25.2" customHeight="1">
      <c r="A242" s="2945">
        <f>COUNTIF($K$1:K242,1)</f>
        <v>0</v>
      </c>
      <c r="B242" s="2946"/>
      <c r="C242" s="2947"/>
      <c r="D242" s="2948"/>
      <c r="E242" s="2955"/>
      <c r="F242" s="2946"/>
      <c r="G242" s="2956"/>
      <c r="H242" s="2956"/>
      <c r="I242" s="2957"/>
      <c r="J242" s="2953">
        <f>IFERROR(VLOOKUP(B242,DG!A:F,6,0),3000)</f>
        <v>3000</v>
      </c>
      <c r="K242" s="2954">
        <f>IF(J242&lt;2000,COUNTIF($B$2:B242,B242),0)</f>
        <v>0</v>
      </c>
      <c r="N242" s="1211"/>
    </row>
    <row r="243" spans="1:15" ht="25.2" customHeight="1">
      <c r="A243" s="2945">
        <f>COUNTIF($K$1:K243,1)</f>
        <v>0</v>
      </c>
      <c r="B243" s="2960"/>
      <c r="C243" s="2961"/>
      <c r="D243" s="2962"/>
      <c r="E243" s="2963"/>
      <c r="F243" s="2964"/>
      <c r="G243" s="2951"/>
      <c r="H243" s="2952"/>
      <c r="I243" s="2952"/>
      <c r="J243" s="2953">
        <f>IFERROR(VLOOKUP(B243,DG!A:F,6,0),3000)</f>
        <v>3000</v>
      </c>
      <c r="K243" s="2954">
        <f>IF(J243&lt;2000,COUNTIF($B$2:B243,B243),0)</f>
        <v>0</v>
      </c>
      <c r="L243" s="1791"/>
    </row>
    <row r="244" spans="1:15" ht="25.2" customHeight="1">
      <c r="A244" s="2945">
        <f>COUNTIF($K$1:K244,1)</f>
        <v>0</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2" customHeight="1">
      <c r="A245" s="2945">
        <f>COUNTIF($K$1:K245,1)</f>
        <v>0</v>
      </c>
      <c r="B245" s="2946"/>
      <c r="C245" s="2947"/>
      <c r="D245" s="2948"/>
      <c r="E245" s="2949"/>
      <c r="F245" s="2950"/>
      <c r="G245" s="2951"/>
      <c r="H245" s="2952"/>
      <c r="I245" s="2952"/>
      <c r="J245" s="2953">
        <f>IFERROR(VLOOKUP(B245,DG!A:F,6,0),3000)</f>
        <v>3000</v>
      </c>
      <c r="K245" s="2954">
        <f>IF(J245&lt;2000,COUNTIF($B$2:B245,B245),0)</f>
        <v>0</v>
      </c>
      <c r="L245" s="1303"/>
    </row>
    <row r="246" spans="1:15" ht="25.2" customHeight="1">
      <c r="A246" s="2945">
        <f>COUNTIF($K$1:K246,1)</f>
        <v>0</v>
      </c>
      <c r="B246" s="2946"/>
      <c r="C246" s="2947"/>
      <c r="D246" s="2948"/>
      <c r="E246" s="2955"/>
      <c r="F246" s="2946"/>
      <c r="G246" s="2956"/>
      <c r="H246" s="2956"/>
      <c r="I246" s="2956"/>
      <c r="J246" s="2953">
        <f>IFERROR(VLOOKUP(B246,DG!A:F,6,0),3000)</f>
        <v>3000</v>
      </c>
      <c r="K246" s="2954">
        <f>IF(J246&lt;2000,COUNTIF($B$2:B246,B246),0)</f>
        <v>0</v>
      </c>
      <c r="L246" s="1991"/>
      <c r="N246" s="1211"/>
    </row>
    <row r="247" spans="1:15" ht="25.2" customHeight="1">
      <c r="A247" s="2945">
        <f>COUNTIF($K$1:K247,1)</f>
        <v>0</v>
      </c>
      <c r="B247" s="2946"/>
      <c r="C247" s="2947"/>
      <c r="D247" s="2948"/>
      <c r="E247" s="2949"/>
      <c r="F247" s="2950"/>
      <c r="G247" s="2951"/>
      <c r="H247" s="2952"/>
      <c r="I247" s="2952"/>
      <c r="J247" s="2953">
        <f>IFERROR(VLOOKUP(B247,DG!A:F,6,0),3000)</f>
        <v>3000</v>
      </c>
      <c r="K247" s="2954">
        <f>IF(J247&lt;2000,COUNTIF($B$2:B247,B247),0)</f>
        <v>0</v>
      </c>
      <c r="L247" s="1303"/>
    </row>
    <row r="248" spans="1:15" ht="25.2" customHeight="1">
      <c r="A248" s="2945">
        <f>COUNTIF($K$1:K248,1)</f>
        <v>0</v>
      </c>
      <c r="B248" s="2946"/>
      <c r="C248" s="2947"/>
      <c r="D248" s="2948"/>
      <c r="E248" s="2949"/>
      <c r="F248" s="2950"/>
      <c r="G248" s="2951"/>
      <c r="H248" s="2952"/>
      <c r="I248" s="2952"/>
      <c r="J248" s="2953">
        <f>IFERROR(VLOOKUP(B248,DG!A:F,6,0),3000)</f>
        <v>3000</v>
      </c>
      <c r="K248" s="2954">
        <f>IF(J248&lt;2000,COUNTIF($B$2:B248,B248),0)</f>
        <v>0</v>
      </c>
      <c r="L248" s="1303"/>
    </row>
    <row r="249" spans="1:15" ht="25.2" customHeight="1">
      <c r="A249" s="2945">
        <f>COUNTIF($K$1:K249,1)</f>
        <v>0</v>
      </c>
      <c r="B249" s="2960"/>
      <c r="C249" s="2961"/>
      <c r="D249" s="2962"/>
      <c r="E249" s="2963"/>
      <c r="F249" s="2964"/>
      <c r="G249" s="2958"/>
      <c r="H249" s="2959"/>
      <c r="I249" s="2970"/>
      <c r="J249" s="2953">
        <f>IFERROR(VLOOKUP(B249,DG!A:F,6,0),3000)</f>
        <v>3000</v>
      </c>
      <c r="K249" s="2954">
        <f>IF(J249&lt;2000,COUNTIF($B$2:B249,B249),0)</f>
        <v>0</v>
      </c>
      <c r="L249" s="1303"/>
    </row>
    <row r="250" spans="1:15" ht="25.2" customHeight="1">
      <c r="A250" s="2945">
        <f>COUNTIF($K$1:K250,1)</f>
        <v>0</v>
      </c>
      <c r="B250" s="2946"/>
      <c r="C250" s="2947"/>
      <c r="D250" s="2948"/>
      <c r="E250" s="2949"/>
      <c r="F250" s="2950"/>
      <c r="G250" s="2951"/>
      <c r="H250" s="2952"/>
      <c r="I250" s="2952"/>
      <c r="J250" s="2953">
        <f>IFERROR(VLOOKUP(B250,DG!A:F,6,0),3000)</f>
        <v>3000</v>
      </c>
      <c r="K250" s="2954">
        <f>IF(J250&lt;2000,COUNTIF($B$2:B250,B250),0)</f>
        <v>0</v>
      </c>
      <c r="L250" s="1303"/>
    </row>
    <row r="251" spans="1:15" ht="25.2" customHeight="1">
      <c r="A251" s="2945">
        <f>COUNTIF($K$1:K251,1)</f>
        <v>0</v>
      </c>
      <c r="B251" s="2946"/>
      <c r="C251" s="2947"/>
      <c r="D251" s="2948"/>
      <c r="E251" s="2949"/>
      <c r="F251" s="2950"/>
      <c r="G251" s="2951"/>
      <c r="H251" s="2952"/>
      <c r="I251" s="2952"/>
      <c r="J251" s="2953">
        <f>IFERROR(VLOOKUP(B251,DG!A:F,6,0),3000)</f>
        <v>3000</v>
      </c>
      <c r="K251" s="2954">
        <f>IF(J251&lt;2000,COUNTIF($B$2:B251,B251),0)</f>
        <v>0</v>
      </c>
      <c r="L251" s="1303"/>
    </row>
    <row r="252" spans="1:15" ht="25.2" customHeight="1">
      <c r="A252" s="2945">
        <f>COUNTIF($K$1:K252,1)</f>
        <v>0</v>
      </c>
      <c r="B252" s="2946"/>
      <c r="C252" s="2947"/>
      <c r="D252" s="2948"/>
      <c r="E252" s="2949"/>
      <c r="F252" s="2950"/>
      <c r="G252" s="2951"/>
      <c r="H252" s="2952"/>
      <c r="I252" s="2952"/>
      <c r="J252" s="2953">
        <f>IFERROR(VLOOKUP(B252,DG!A:F,6,0),3000)</f>
        <v>3000</v>
      </c>
      <c r="K252" s="2954">
        <f>IF(J252&lt;2000,COUNTIF($B$2:B252,B252),0)</f>
        <v>0</v>
      </c>
      <c r="L252" s="1303"/>
    </row>
    <row r="253" spans="1:15" ht="25.2" customHeight="1">
      <c r="A253" s="2945">
        <f>COUNTIF($K$1:K253,1)</f>
        <v>0</v>
      </c>
      <c r="B253" s="2946"/>
      <c r="C253" s="2947"/>
      <c r="D253" s="2948"/>
      <c r="E253" s="2949"/>
      <c r="F253" s="2950"/>
      <c r="G253" s="2951"/>
      <c r="H253" s="2952"/>
      <c r="I253" s="2952"/>
      <c r="J253" s="2953">
        <f>IFERROR(VLOOKUP(B253,DG!A:F,6,0),3000)</f>
        <v>3000</v>
      </c>
      <c r="K253" s="2954">
        <f>IF(J253&lt;2000,COUNTIF($B$2:B253,B253),0)</f>
        <v>0</v>
      </c>
      <c r="L253" s="1303"/>
    </row>
    <row r="254" spans="1:15" ht="25.2" customHeight="1">
      <c r="A254" s="2945">
        <f>COUNTIF($K$1:K254,1)</f>
        <v>0</v>
      </c>
      <c r="B254" s="2946"/>
      <c r="C254" s="2947"/>
      <c r="D254" s="2948"/>
      <c r="E254" s="2949"/>
      <c r="F254" s="2950"/>
      <c r="G254" s="2951"/>
      <c r="H254" s="2952"/>
      <c r="I254" s="2952"/>
      <c r="J254" s="2953">
        <f>IFERROR(VLOOKUP(B254,DG!A:F,6,0),3000)</f>
        <v>3000</v>
      </c>
      <c r="K254" s="2954">
        <f>IF(J254&lt;2000,COUNTIF($B$2:B254,B254),0)</f>
        <v>0</v>
      </c>
      <c r="L254" s="1303"/>
    </row>
    <row r="255" spans="1:15" ht="25.2" customHeight="1">
      <c r="A255" s="2945">
        <f>COUNTIF($K$1:K255,1)</f>
        <v>0</v>
      </c>
      <c r="B255" s="2946"/>
      <c r="C255" s="2947"/>
      <c r="D255" s="2948"/>
      <c r="E255" s="2949"/>
      <c r="F255" s="2950"/>
      <c r="G255" s="2951"/>
      <c r="H255" s="2952"/>
      <c r="I255" s="2952"/>
      <c r="J255" s="2953">
        <f>IFERROR(VLOOKUP(B255,DG!A:F,6,0),3000)</f>
        <v>3000</v>
      </c>
      <c r="K255" s="2954">
        <f>IF(J255&lt;2000,COUNTIF($B$2:B255,B255),0)</f>
        <v>0</v>
      </c>
      <c r="L255" s="1791"/>
    </row>
    <row r="256" spans="1:15" ht="25.2" customHeight="1">
      <c r="A256" s="2945">
        <f>COUNTIF($K$1:K256,1)</f>
        <v>0</v>
      </c>
      <c r="B256" s="2946"/>
      <c r="C256" s="2947"/>
      <c r="D256" s="2948"/>
      <c r="E256" s="2949"/>
      <c r="F256" s="2950"/>
      <c r="G256" s="2951"/>
      <c r="H256" s="2952"/>
      <c r="I256" s="2952"/>
      <c r="J256" s="2953">
        <f>IFERROR(VLOOKUP(B256,DG!A:F,6,0),3000)</f>
        <v>3000</v>
      </c>
      <c r="K256" s="2954">
        <f>IF(J256&lt;2000,COUNTIF($B$2:B256,B256),0)</f>
        <v>0</v>
      </c>
      <c r="L256" s="1303"/>
    </row>
    <row r="257" spans="1:15" ht="25.2" customHeight="1">
      <c r="A257" s="2945">
        <f>COUNTIF($K$1:K257,1)</f>
        <v>0</v>
      </c>
      <c r="B257" s="2946"/>
      <c r="C257" s="2947"/>
      <c r="D257" s="2948"/>
      <c r="E257" s="2955"/>
      <c r="F257" s="2946"/>
      <c r="G257" s="2956"/>
      <c r="H257" s="2956"/>
      <c r="I257" s="2956"/>
      <c r="J257" s="2953">
        <f>IFERROR(VLOOKUP(B257,DG!A:F,6,0),3000)</f>
        <v>3000</v>
      </c>
      <c r="K257" s="2954">
        <f>IF(J257&lt;2000,COUNTIF($B$2:B257,B257),0)</f>
        <v>0</v>
      </c>
    </row>
    <row r="258" spans="1:15" ht="25.2" customHeight="1">
      <c r="A258" s="2945">
        <f>COUNTIF($K$1:K258,1)</f>
        <v>0</v>
      </c>
      <c r="B258" s="2946"/>
      <c r="C258" s="2947"/>
      <c r="D258" s="2948"/>
      <c r="E258" s="2955"/>
      <c r="F258" s="2946"/>
      <c r="G258" s="2956"/>
      <c r="H258" s="2956"/>
      <c r="I258" s="2956"/>
      <c r="J258" s="2953">
        <f>IFERROR(VLOOKUP(B258,DG!A:F,6,0),3000)</f>
        <v>3000</v>
      </c>
      <c r="K258" s="2954">
        <f>IF(J258&lt;2000,COUNTIF($B$2:B258,B258),0)</f>
        <v>0</v>
      </c>
    </row>
    <row r="259" spans="1:15" ht="25.2" customHeight="1">
      <c r="A259" s="2945">
        <f>COUNTIF($K$1:K259,1)</f>
        <v>0</v>
      </c>
      <c r="B259" s="2965"/>
      <c r="C259" s="2966"/>
      <c r="D259" s="2967"/>
      <c r="E259" s="2968"/>
      <c r="F259" s="2965"/>
      <c r="G259" s="2957"/>
      <c r="H259" s="2957"/>
      <c r="I259" s="2957"/>
      <c r="J259" s="2953">
        <f>IFERROR(VLOOKUP(B259,DG!A:F,6,0),3000)</f>
        <v>3000</v>
      </c>
      <c r="K259" s="2954">
        <f>IF(J259&lt;2000,COUNTIF($B$2:B259,B259),0)</f>
        <v>0</v>
      </c>
    </row>
    <row r="260" spans="1:15" ht="25.2" customHeight="1">
      <c r="A260" s="2945">
        <f>COUNTIF($K$1:K260,1)</f>
        <v>0</v>
      </c>
      <c r="B260" s="2946"/>
      <c r="C260" s="2947"/>
      <c r="D260" s="2948"/>
      <c r="E260" s="2949"/>
      <c r="F260" s="2950"/>
      <c r="G260" s="2951"/>
      <c r="H260" s="2952"/>
      <c r="I260" s="2952"/>
      <c r="J260" s="2953">
        <f>IFERROR(VLOOKUP(B260,DG!A:F,6,0),3000)</f>
        <v>3000</v>
      </c>
      <c r="K260" s="2954">
        <f>IF(J260&lt;2000,COUNTIF($B$2:B260,B260),0)</f>
        <v>0</v>
      </c>
      <c r="L260" s="1303"/>
    </row>
    <row r="261" spans="1:15" ht="25.2" customHeight="1">
      <c r="A261" s="2945">
        <f>COUNTIF($K$1:K261,1)</f>
        <v>0</v>
      </c>
      <c r="B261" s="2946"/>
      <c r="C261" s="2947"/>
      <c r="D261" s="2948"/>
      <c r="E261" s="2949"/>
      <c r="F261" s="2950"/>
      <c r="G261" s="2951"/>
      <c r="H261" s="2952"/>
      <c r="I261" s="2952"/>
      <c r="J261" s="2953">
        <f>IFERROR(VLOOKUP(B261,DG!A:F,6,0),3000)</f>
        <v>3000</v>
      </c>
      <c r="K261" s="2954">
        <f>IF(J261&lt;2000,COUNTIF($B$2:B261,B261),0)</f>
        <v>0</v>
      </c>
      <c r="L261" s="1791"/>
    </row>
    <row r="262" spans="1:15" ht="25.2" customHeight="1">
      <c r="A262" s="2945">
        <f>COUNTIF($K$1:K262,1)</f>
        <v>0</v>
      </c>
      <c r="B262" s="2965"/>
      <c r="C262" s="2966"/>
      <c r="D262" s="2967"/>
      <c r="E262" s="2971"/>
      <c r="F262" s="2972"/>
      <c r="G262" s="2969"/>
      <c r="H262" s="2970"/>
      <c r="I262" s="2970"/>
      <c r="J262" s="2953">
        <f>IFERROR(VLOOKUP(B262,DG!A:F,6,0),3000)</f>
        <v>3000</v>
      </c>
      <c r="K262" s="2954">
        <f>IF(J262&lt;2000,COUNTIF($B$2:B262,B262),0)</f>
        <v>0</v>
      </c>
      <c r="L262" s="1303"/>
    </row>
    <row r="263" spans="1:15" ht="25.2" customHeight="1">
      <c r="A263" s="2945">
        <f>COUNTIF($K$1:K263,1)</f>
        <v>0</v>
      </c>
      <c r="B263" s="2946"/>
      <c r="C263" s="2947"/>
      <c r="D263" s="2948"/>
      <c r="E263" s="2949"/>
      <c r="F263" s="2950"/>
      <c r="G263" s="2951"/>
      <c r="H263" s="2952"/>
      <c r="I263" s="2952"/>
      <c r="J263" s="2953">
        <f>IFERROR(VLOOKUP(B263,DG!A:F,6,0),3000)</f>
        <v>3000</v>
      </c>
      <c r="K263" s="2954">
        <f>IF(J263&lt;2000,COUNTIF($B$2:B263,B263),0)</f>
        <v>0</v>
      </c>
      <c r="L263" s="1303"/>
    </row>
    <row r="264" spans="1:15" ht="25.2" customHeight="1">
      <c r="A264" s="2945">
        <f>COUNTIF($K$1:K264,1)</f>
        <v>0</v>
      </c>
      <c r="B264" s="2965"/>
      <c r="C264" s="2966"/>
      <c r="D264" s="2967"/>
      <c r="E264" s="2968"/>
      <c r="F264" s="2965"/>
      <c r="G264" s="2957"/>
      <c r="H264" s="2957"/>
      <c r="I264" s="2957"/>
      <c r="J264" s="2953">
        <f>IFERROR(VLOOKUP(B264,DG!A:F,6,0),3000)</f>
        <v>3000</v>
      </c>
      <c r="K264" s="2954">
        <f>IF(J264&lt;2000,COUNTIF($B$2:B264,B264),0)</f>
        <v>0</v>
      </c>
    </row>
    <row r="265" spans="1:15" ht="25.2" customHeight="1">
      <c r="A265" s="2945">
        <f>COUNTIF($K$1:K265,1)</f>
        <v>0</v>
      </c>
      <c r="B265" s="2965"/>
      <c r="C265" s="2966"/>
      <c r="D265" s="2967"/>
      <c r="E265" s="2968"/>
      <c r="F265" s="2965"/>
      <c r="G265" s="2957"/>
      <c r="H265" s="2957"/>
      <c r="I265" s="2957"/>
      <c r="J265" s="2953">
        <f>IFERROR(VLOOKUP(B265,DG!A:F,6,0),3000)</f>
        <v>3000</v>
      </c>
      <c r="K265" s="2954">
        <f>IF(J265&lt;2000,COUNTIF($B$2:B265,B265),0)</f>
        <v>0</v>
      </c>
    </row>
    <row r="266" spans="1:15" ht="25.2" customHeight="1">
      <c r="A266" s="2945">
        <f>COUNTIF($K$1:K266,1)</f>
        <v>0</v>
      </c>
      <c r="B266" s="2965"/>
      <c r="C266" s="2966"/>
      <c r="D266" s="2967"/>
      <c r="E266" s="2968"/>
      <c r="F266" s="2965"/>
      <c r="G266" s="2957"/>
      <c r="H266" s="2957"/>
      <c r="I266" s="2957"/>
      <c r="J266" s="2953">
        <f>IFERROR(VLOOKUP(B266,DG!A:F,6,0),3000)</f>
        <v>3000</v>
      </c>
      <c r="K266" s="2954">
        <f>IF(J266&lt;2000,COUNTIF($B$2:B266,B266),0)</f>
        <v>0</v>
      </c>
    </row>
    <row r="267" spans="1:15" ht="25.2" customHeight="1">
      <c r="A267" s="2945">
        <f>COUNTIF($K$1:K267,1)</f>
        <v>0</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2" customHeight="1">
      <c r="A268" s="2945">
        <f>COUNTIF($K$1:K268,1)</f>
        <v>0</v>
      </c>
      <c r="B268" s="2965"/>
      <c r="C268" s="2966"/>
      <c r="D268" s="2967"/>
      <c r="E268" s="2968"/>
      <c r="F268" s="2965"/>
      <c r="G268" s="2957"/>
      <c r="H268" s="2957"/>
      <c r="I268" s="2957"/>
      <c r="J268" s="2953">
        <f>IFERROR(VLOOKUP(B268,DG!A:F,6,0),3000)</f>
        <v>3000</v>
      </c>
      <c r="K268" s="2954">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90625" defaultRowHeight="35.1" customHeight="1" outlineLevelCol="1"/>
  <cols>
    <col min="1" max="1" width="11.36328125" style="1977" customWidth="1"/>
    <col min="2" max="2" width="15.08984375" style="1977" customWidth="1"/>
    <col min="3" max="3" width="11.6328125" style="1211" customWidth="1"/>
    <col min="4" max="4" width="6.1796875" style="1977" customWidth="1"/>
    <col min="5" max="5" width="16.6328125" style="1977" customWidth="1"/>
    <col min="6" max="6" width="8.1796875" style="1211" customWidth="1"/>
    <col min="7" max="7" width="17.6328125" style="1786" customWidth="1"/>
    <col min="8" max="8" width="23.36328125" style="1876" customWidth="1" outlineLevel="1"/>
    <col min="9" max="9" width="26.81640625" style="1876" customWidth="1" outlineLevel="1"/>
    <col min="10" max="10" width="14.36328125" style="1877" hidden="1" customWidth="1" outlineLevel="1"/>
    <col min="11" max="11" width="11.1796875" style="1877" hidden="1" customWidth="1" outlineLevel="1"/>
    <col min="12" max="12" width="17.6328125" style="1877" customWidth="1" collapsed="1"/>
    <col min="13" max="13" width="10.81640625" style="1324" customWidth="1"/>
    <col min="14" max="14" width="10.453125" style="1211" customWidth="1"/>
    <col min="15" max="16" width="13.36328125" style="1786" customWidth="1"/>
    <col min="17" max="17" width="8.90625" style="1977"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77"/>
    <col min="34" max="34" width="45.453125" style="1977" customWidth="1"/>
    <col min="35" max="41" width="8.90625" style="1977"/>
    <col min="42" max="42" width="21.6328125" style="1977" customWidth="1"/>
    <col min="43" max="45" width="8.90625" style="1977"/>
    <col min="46" max="46" width="6" style="1977" customWidth="1"/>
    <col min="47" max="47" width="31.1796875" style="1977" customWidth="1"/>
    <col min="48" max="48" width="7.1796875" style="1977" customWidth="1"/>
    <col min="49" max="54" width="8.90625" style="1977"/>
    <col min="55" max="55" width="22.54296875" style="1977" bestFit="1" customWidth="1"/>
    <col min="56" max="56" width="12.54296875" style="1977" customWidth="1"/>
    <col min="57" max="62" width="8.90625" style="1977"/>
    <col min="63" max="63" width="22.1796875" style="1977" customWidth="1"/>
    <col min="64" max="64" width="20.54296875" style="1977" customWidth="1"/>
    <col min="65" max="72" width="8.90625" style="1977"/>
    <col min="73" max="73" width="28.81640625" style="1977" customWidth="1"/>
    <col min="74" max="74" width="8.90625" style="1977"/>
    <col min="75" max="75" width="14.1796875" style="1977" customWidth="1"/>
    <col min="76" max="16384" width="8.90625" style="1977"/>
  </cols>
  <sheetData>
    <row r="1" spans="1:26" s="1957" customFormat="1" ht="35.1" customHeight="1" thickBot="1">
      <c r="A1" s="2013" t="s">
        <v>4470</v>
      </c>
      <c r="B1" s="2014" t="s">
        <v>4169</v>
      </c>
      <c r="C1" s="2014" t="s">
        <v>4479</v>
      </c>
      <c r="D1" s="2014"/>
      <c r="E1" s="2014" t="s">
        <v>4842</v>
      </c>
      <c r="F1" s="2015"/>
      <c r="G1" s="1969">
        <f>'NT-VT'!A5</f>
        <v>0</v>
      </c>
      <c r="H1" s="1958" t="s">
        <v>4177</v>
      </c>
      <c r="I1" s="1958" t="s">
        <v>4178</v>
      </c>
      <c r="J1" s="1959" t="s">
        <v>4483</v>
      </c>
      <c r="K1" s="1959" t="s">
        <v>4183</v>
      </c>
      <c r="L1" s="1960" t="s">
        <v>4481</v>
      </c>
      <c r="M1" s="1961" t="s">
        <v>4183</v>
      </c>
      <c r="N1" s="1961" t="s">
        <v>4184</v>
      </c>
      <c r="O1" s="1986" t="s">
        <v>4778</v>
      </c>
      <c r="P1" s="2000">
        <v>44067</v>
      </c>
      <c r="Q1" s="1878" t="s">
        <v>2603</v>
      </c>
      <c r="R1" s="1962" t="s">
        <v>4177</v>
      </c>
      <c r="S1" s="1962" t="s">
        <v>4178</v>
      </c>
      <c r="T1" s="1963" t="s">
        <v>4483</v>
      </c>
      <c r="U1" s="1964" t="s">
        <v>4183</v>
      </c>
      <c r="V1" s="1965" t="s">
        <v>4481</v>
      </c>
      <c r="W1" s="1966" t="s">
        <v>4183</v>
      </c>
      <c r="Z1" s="1967" t="s">
        <v>4292</v>
      </c>
    </row>
    <row r="2" spans="1:26" ht="66" customHeight="1">
      <c r="A2" s="2029" t="s">
        <v>4843</v>
      </c>
      <c r="B2" s="2030"/>
      <c r="C2" s="2031"/>
      <c r="D2" s="2030">
        <v>1</v>
      </c>
      <c r="E2" s="2032">
        <v>43936</v>
      </c>
      <c r="F2" s="2033"/>
      <c r="G2" s="1969" t="s">
        <v>4504</v>
      </c>
      <c r="H2" s="1970" t="s">
        <v>4766</v>
      </c>
      <c r="I2" s="1970" t="s">
        <v>4766</v>
      </c>
      <c r="J2" s="1971"/>
      <c r="K2" s="1972">
        <v>43965</v>
      </c>
      <c r="L2" s="1876" t="str">
        <f>IF(N2&gt;0,N2&amp;O2,P2&amp;O2&amp;CHAR(10)&amp;P3&amp;O2&amp;IF(P4&lt;&gt;0,CHAR(10)&amp;P4&amp;O2,""))</f>
        <v xml:space="preserve">            /BB-PXTN</v>
      </c>
      <c r="M2" s="1973"/>
      <c r="N2" s="1879" t="s">
        <v>6555</v>
      </c>
      <c r="O2" s="1786" t="s">
        <v>4481</v>
      </c>
      <c r="P2" s="1879"/>
      <c r="Q2" s="1974" t="s">
        <v>115</v>
      </c>
      <c r="R2" s="1975" t="s">
        <v>4472</v>
      </c>
      <c r="S2" s="1975" t="s">
        <v>4472</v>
      </c>
      <c r="T2" s="1211" t="s">
        <v>4792</v>
      </c>
      <c r="U2" s="1976">
        <v>43864</v>
      </c>
      <c r="V2" s="1211" t="s">
        <v>4718</v>
      </c>
      <c r="W2" s="1364">
        <v>43462</v>
      </c>
      <c r="Z2" s="1324" t="s">
        <v>4472</v>
      </c>
    </row>
    <row r="3" spans="1:26" ht="35.1" customHeight="1">
      <c r="A3" s="2018" t="s">
        <v>3877</v>
      </c>
      <c r="B3" s="2019" t="str">
        <f ca="1">IF('2Mong'!G65&gt;0,"X","")</f>
        <v/>
      </c>
      <c r="C3" s="2020" t="str">
        <f t="shared" ref="C3:C11" ca="1" si="0">TEXT(B3,"00")</f>
        <v/>
      </c>
      <c r="D3" s="2021">
        <f ca="1">IF(B3="x",D2+1,D2)</f>
        <v>1</v>
      </c>
      <c r="E3" s="2016">
        <f t="shared" ref="E3:E11" si="1">E2+F3</f>
        <v>43936</v>
      </c>
      <c r="F3" s="2017"/>
      <c r="G3" s="1969" t="s">
        <v>6454</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4779</v>
      </c>
      <c r="Z3" s="1981" t="s">
        <v>4517</v>
      </c>
    </row>
    <row r="4" spans="1:26" ht="35.1" customHeight="1">
      <c r="A4" s="2018" t="s">
        <v>2277</v>
      </c>
      <c r="B4" s="2019" t="str">
        <f ca="1">IF('3Tru'!F16,"X","")</f>
        <v/>
      </c>
      <c r="C4" s="2020" t="str">
        <f t="shared" ca="1" si="0"/>
        <v/>
      </c>
      <c r="D4" s="2021">
        <f t="shared" ref="D4:D11" ca="1" si="7">IF(B4="x",D3+1,D3)</f>
        <v>1</v>
      </c>
      <c r="E4" s="2016">
        <f t="shared" si="1"/>
        <v>43940</v>
      </c>
      <c r="F4" s="2017">
        <v>4</v>
      </c>
      <c r="G4" s="1969" t="s">
        <v>1652</v>
      </c>
      <c r="H4" s="1970" t="str">
        <f t="shared" si="2"/>
        <v>Chance</v>
      </c>
      <c r="I4" s="1970" t="str">
        <f t="shared" si="3"/>
        <v>Cty TNHH MTV Đại Thiên An</v>
      </c>
      <c r="J4" s="1978" t="s">
        <v>4932</v>
      </c>
      <c r="K4" s="1979">
        <v>43955</v>
      </c>
      <c r="L4" s="2987" t="str">
        <f t="shared" si="4"/>
        <v>28213/BB-FCO</v>
      </c>
      <c r="M4" s="1999">
        <f t="shared" si="5"/>
        <v>44067</v>
      </c>
      <c r="N4" s="1211">
        <v>28213</v>
      </c>
      <c r="O4" s="1786" t="str">
        <f t="shared" si="6"/>
        <v>/BB-FCO</v>
      </c>
      <c r="P4" s="1879"/>
      <c r="Q4" s="1974" t="s">
        <v>1013</v>
      </c>
      <c r="R4" s="1980" t="s">
        <v>4195</v>
      </c>
      <c r="S4" s="1980" t="s">
        <v>4195</v>
      </c>
      <c r="T4" s="1982" t="s">
        <v>4626</v>
      </c>
      <c r="U4" s="1976">
        <v>43525</v>
      </c>
      <c r="X4" s="1211" t="s">
        <v>4779</v>
      </c>
      <c r="Z4" s="1981" t="s">
        <v>4185</v>
      </c>
    </row>
    <row r="5" spans="1:26" ht="35.1" customHeight="1">
      <c r="A5" s="2018" t="s">
        <v>4471</v>
      </c>
      <c r="B5" s="2019" t="str">
        <f>IF('5BT'!F18,"X","")</f>
        <v/>
      </c>
      <c r="C5" s="2020" t="str">
        <f t="shared" si="0"/>
        <v/>
      </c>
      <c r="D5" s="2021">
        <f t="shared" ca="1" si="7"/>
        <v>1</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4624</v>
      </c>
      <c r="U5" s="1976">
        <v>43494</v>
      </c>
      <c r="X5" s="1211" t="s">
        <v>4780</v>
      </c>
      <c r="Z5" s="1981" t="s">
        <v>4188</v>
      </c>
    </row>
    <row r="6" spans="1:26" ht="35.1" customHeight="1">
      <c r="A6" s="2022" t="s">
        <v>4473</v>
      </c>
      <c r="B6" s="2019" t="str">
        <f>IF('4Neo'!E33,"X","")</f>
        <v/>
      </c>
      <c r="C6" s="2020" t="str">
        <f t="shared" si="0"/>
        <v/>
      </c>
      <c r="D6" s="2021">
        <f t="shared" ca="1" si="7"/>
        <v>1</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4623</v>
      </c>
      <c r="U6" s="1976">
        <v>43665</v>
      </c>
      <c r="X6" s="1211" t="s">
        <v>4780</v>
      </c>
      <c r="Z6" s="1981" t="s">
        <v>4293</v>
      </c>
    </row>
    <row r="7" spans="1:26" ht="35.1" customHeight="1">
      <c r="A7" s="2022" t="s">
        <v>4474</v>
      </c>
      <c r="B7" s="2019" t="s">
        <v>512</v>
      </c>
      <c r="C7" s="2020" t="str">
        <f t="shared" si="0"/>
        <v>x</v>
      </c>
      <c r="D7" s="2021">
        <f t="shared" ca="1" si="7"/>
        <v>2</v>
      </c>
      <c r="E7" s="2016">
        <f t="shared" si="1"/>
        <v>43943</v>
      </c>
      <c r="F7" s="2017">
        <v>3</v>
      </c>
      <c r="G7" s="1969" t="s">
        <v>1571</v>
      </c>
      <c r="H7" s="1970" t="str">
        <f t="shared" si="2"/>
        <v>Cty TNHHSX-TM Dây &amp; Cáp Điện Tài Trường Thành</v>
      </c>
      <c r="I7" s="1970" t="str">
        <f t="shared" si="3"/>
        <v>Cty TNHHSX-TM Dây &amp; Cáp Điện Tài Trường Thành</v>
      </c>
      <c r="J7" s="1978" t="s">
        <v>4933</v>
      </c>
      <c r="K7" s="1979">
        <v>43957</v>
      </c>
      <c r="L7" s="2987" t="str">
        <f t="shared" si="4"/>
        <v>28216/BB-LVC</v>
      </c>
      <c r="M7" s="1999">
        <f t="shared" si="5"/>
        <v>44067</v>
      </c>
      <c r="N7" s="2986">
        <v>28216</v>
      </c>
      <c r="O7" s="1786" t="str">
        <f t="shared" si="6"/>
        <v>/BB-LVC</v>
      </c>
      <c r="Q7" s="1974" t="s">
        <v>103</v>
      </c>
      <c r="R7" s="1980" t="s">
        <v>4195</v>
      </c>
      <c r="S7" s="1980" t="s">
        <v>4195</v>
      </c>
      <c r="T7" s="1982" t="s">
        <v>6404</v>
      </c>
      <c r="U7" s="1976">
        <v>43721</v>
      </c>
      <c r="V7" s="1211" t="s">
        <v>4722</v>
      </c>
      <c r="W7" s="1364">
        <v>43522</v>
      </c>
      <c r="Z7" s="1981" t="s">
        <v>4191</v>
      </c>
    </row>
    <row r="8" spans="1:26" ht="35.1" customHeight="1">
      <c r="A8" s="2018" t="s">
        <v>4850</v>
      </c>
      <c r="B8" s="2019" t="str">
        <f ca="1">IF('7day'!F5,"X","")</f>
        <v/>
      </c>
      <c r="C8" s="2020" t="str">
        <f t="shared" ca="1" si="0"/>
        <v/>
      </c>
      <c r="D8" s="2021">
        <f t="shared" ca="1" si="7"/>
        <v>2</v>
      </c>
      <c r="E8" s="2016">
        <f t="shared" si="1"/>
        <v>43943</v>
      </c>
      <c r="F8" s="2017"/>
      <c r="G8" s="1969" t="s">
        <v>4902</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4625</v>
      </c>
      <c r="U8" s="1976">
        <v>43494</v>
      </c>
      <c r="X8" s="1211" t="s">
        <v>4779</v>
      </c>
      <c r="Z8" s="1981" t="s">
        <v>4197</v>
      </c>
    </row>
    <row r="9" spans="1:26" ht="35.1" customHeight="1">
      <c r="A9" s="2023" t="s">
        <v>4125</v>
      </c>
      <c r="B9" s="2019" t="s">
        <v>512</v>
      </c>
      <c r="C9" s="2020" t="str">
        <f t="shared" si="0"/>
        <v>x</v>
      </c>
      <c r="D9" s="2021">
        <f t="shared" ca="1" si="7"/>
        <v>3</v>
      </c>
      <c r="E9" s="2016">
        <f t="shared" si="1"/>
        <v>43943</v>
      </c>
      <c r="F9" s="2017"/>
      <c r="G9" s="1969" t="s">
        <v>2276</v>
      </c>
      <c r="H9" s="1970" t="str">
        <f t="shared" si="2"/>
        <v>Cty TNHHSX-TM Dây &amp; Cáp Điện Tài Trường Thành</v>
      </c>
      <c r="I9" s="1970" t="str">
        <f t="shared" si="3"/>
        <v>Cty TNHHSX-TM Dây &amp; Cáp Điện Tài Trường Thành</v>
      </c>
      <c r="J9" s="1978" t="s">
        <v>4937</v>
      </c>
      <c r="K9" s="1979">
        <v>43959</v>
      </c>
      <c r="L9" s="2987" t="str">
        <f t="shared" si="4"/>
        <v>28217/BB-LVC</v>
      </c>
      <c r="M9" s="1999">
        <f t="shared" si="5"/>
        <v>44067</v>
      </c>
      <c r="N9" s="1211">
        <v>28217</v>
      </c>
      <c r="O9" s="1786" t="str">
        <f t="shared" si="6"/>
        <v>/BB-LVC</v>
      </c>
      <c r="Q9" s="1974" t="s">
        <v>88</v>
      </c>
      <c r="R9" s="1980" t="s">
        <v>4195</v>
      </c>
      <c r="S9" s="1980" t="s">
        <v>4195</v>
      </c>
      <c r="T9" s="1982" t="s">
        <v>4720</v>
      </c>
      <c r="U9" s="1976">
        <v>43665</v>
      </c>
      <c r="V9" s="1211" t="s">
        <v>4719</v>
      </c>
      <c r="W9" s="1364">
        <v>42387</v>
      </c>
      <c r="Z9" s="1981" t="s">
        <v>4467</v>
      </c>
    </row>
    <row r="10" spans="1:26" ht="35.1" customHeight="1">
      <c r="A10" s="2023" t="s">
        <v>4478</v>
      </c>
      <c r="B10" s="2019" t="s">
        <v>512</v>
      </c>
      <c r="C10" s="2020" t="str">
        <f t="shared" si="0"/>
        <v>x</v>
      </c>
      <c r="D10" s="2021">
        <f t="shared" ca="1" si="7"/>
        <v>4</v>
      </c>
      <c r="E10" s="2016">
        <f t="shared" si="1"/>
        <v>43943</v>
      </c>
      <c r="F10" s="2017"/>
      <c r="G10" s="1969" t="e">
        <f>'NT-VT'!A14</f>
        <v>#N/A</v>
      </c>
      <c r="H10" s="1970" t="str">
        <f t="shared" si="2"/>
        <v>nt</v>
      </c>
      <c r="I10" s="1970" t="str">
        <f t="shared" si="3"/>
        <v>nt</v>
      </c>
      <c r="J10" s="1978" t="s">
        <v>4936</v>
      </c>
      <c r="K10" s="1979">
        <v>43959</v>
      </c>
      <c r="L10" s="2987" t="str">
        <f t="shared" si="4"/>
        <v/>
      </c>
      <c r="M10" s="1999" t="str">
        <f t="shared" si="5"/>
        <v/>
      </c>
      <c r="O10" s="1786" t="e">
        <f t="shared" si="6"/>
        <v>#N/A</v>
      </c>
      <c r="Q10" s="1974" t="s">
        <v>1359</v>
      </c>
      <c r="R10" s="1980" t="s">
        <v>4195</v>
      </c>
      <c r="S10" s="1980" t="s">
        <v>4195</v>
      </c>
      <c r="T10" s="1982" t="s">
        <v>4622</v>
      </c>
      <c r="U10" s="1976">
        <v>43665</v>
      </c>
      <c r="V10" s="1211" t="s">
        <v>4721</v>
      </c>
      <c r="W10" s="1364">
        <v>42445</v>
      </c>
      <c r="Z10" s="1981" t="s">
        <v>4195</v>
      </c>
    </row>
    <row r="11" spans="1:26" ht="35.1" customHeight="1" thickBot="1">
      <c r="A11" s="2024" t="s">
        <v>4490</v>
      </c>
      <c r="B11" s="2019" t="s">
        <v>512</v>
      </c>
      <c r="C11" s="2025" t="str">
        <f t="shared" si="0"/>
        <v>x</v>
      </c>
      <c r="D11" s="2021">
        <f t="shared" ca="1" si="7"/>
        <v>5</v>
      </c>
      <c r="E11" s="2026">
        <f t="shared" si="1"/>
        <v>43948</v>
      </c>
      <c r="F11" s="2027">
        <v>5</v>
      </c>
      <c r="G11" s="1969" t="e">
        <f>'NT-VT'!A15</f>
        <v>#N/A</v>
      </c>
      <c r="H11" s="1970" t="str">
        <f t="shared" si="2"/>
        <v>nt</v>
      </c>
      <c r="I11" s="1970" t="str">
        <f t="shared" si="3"/>
        <v>nt</v>
      </c>
      <c r="J11" s="1978"/>
      <c r="K11" s="1979"/>
      <c r="L11" s="2987" t="str">
        <f t="shared" si="4"/>
        <v/>
      </c>
      <c r="M11" s="1999" t="str">
        <f t="shared" si="5"/>
        <v/>
      </c>
      <c r="O11" s="1786" t="e">
        <f t="shared" si="6"/>
        <v>#N/A</v>
      </c>
      <c r="Q11" s="2983" t="s">
        <v>6247</v>
      </c>
      <c r="R11" s="1980" t="s">
        <v>4188</v>
      </c>
      <c r="S11" s="1980" t="s">
        <v>4188</v>
      </c>
      <c r="T11" s="1971" t="s">
        <v>4619</v>
      </c>
      <c r="U11" s="1972">
        <v>43525</v>
      </c>
      <c r="Z11" s="1981" t="s">
        <v>4194</v>
      </c>
    </row>
    <row r="12" spans="1:26" ht="35.1" customHeight="1">
      <c r="A12"/>
      <c r="B12"/>
      <c r="C12"/>
      <c r="D12"/>
      <c r="E12"/>
      <c r="F12"/>
      <c r="G12" s="1969" t="e">
        <f>'NT-VT'!A16</f>
        <v>#N/A</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4386</v>
      </c>
      <c r="S12" s="1984" t="s">
        <v>4386</v>
      </c>
      <c r="T12" s="1211" t="s">
        <v>1016</v>
      </c>
      <c r="U12" s="1364" t="s">
        <v>1016</v>
      </c>
      <c r="Z12" s="1981" t="s">
        <v>4192</v>
      </c>
    </row>
    <row r="13" spans="1:26" ht="35.1" customHeight="1">
      <c r="A13" s="1983"/>
      <c r="D13" s="1968"/>
      <c r="E13" s="1211"/>
      <c r="G13" s="1969" t="e">
        <f>'NT-VT'!A17</f>
        <v>#N/A</v>
      </c>
      <c r="H13" s="1970" t="str">
        <f t="shared" ref="H13:H44" si="13">IFERROR(VLOOKUP(G13,$Q:$U,2,0),"nt")</f>
        <v>nt</v>
      </c>
      <c r="I13" s="1970" t="str">
        <f t="shared" ref="I13:I44" si="14">IFERROR(VLOOKUP(G13,$Q:$U,3,0),"nt")</f>
        <v>nt</v>
      </c>
      <c r="J13" s="1978" t="s">
        <v>4934</v>
      </c>
      <c r="K13" s="1979">
        <v>43959</v>
      </c>
      <c r="L13" s="2987" t="str">
        <f t="shared" ref="L13:L19" si="15">IF(N13&gt;0,N13&amp;O13,IFERROR(VLOOKUP(G13,Q:U,4,0),""))</f>
        <v/>
      </c>
      <c r="M13" s="1999" t="str">
        <f t="shared" ref="M13:M44" si="16">IF(N13&gt;0,$P$1,IFERROR(VLOOKUP(G13,Q:U,5,0),""))</f>
        <v/>
      </c>
      <c r="O13" s="1786" t="e">
        <f t="shared" ref="O13:O44" si="17">VLOOKUP(G13,Q:X,8,0)</f>
        <v>#N/A</v>
      </c>
      <c r="Q13" s="1977" t="s">
        <v>4412</v>
      </c>
      <c r="R13" s="1984" t="s">
        <v>4620</v>
      </c>
      <c r="S13" s="1984" t="s">
        <v>4620</v>
      </c>
      <c r="T13" s="1211" t="s">
        <v>1016</v>
      </c>
      <c r="U13" s="1364" t="s">
        <v>1016</v>
      </c>
      <c r="Z13" s="1981" t="s">
        <v>4190</v>
      </c>
    </row>
    <row r="14" spans="1:26" ht="35.1" customHeight="1">
      <c r="A14" s="1983"/>
      <c r="D14" s="1968"/>
      <c r="E14" s="1211"/>
      <c r="G14" s="1969" t="e">
        <f>'NT-VT'!A18</f>
        <v>#N/A</v>
      </c>
      <c r="H14" s="1970" t="str">
        <f t="shared" si="13"/>
        <v>nt</v>
      </c>
      <c r="I14" s="1970" t="str">
        <f t="shared" si="14"/>
        <v>nt</v>
      </c>
      <c r="J14" s="1978" t="s">
        <v>4935</v>
      </c>
      <c r="K14" s="1979">
        <v>43959</v>
      </c>
      <c r="L14" s="2987" t="str">
        <f t="shared" si="15"/>
        <v/>
      </c>
      <c r="M14" s="1999" t="str">
        <f t="shared" si="16"/>
        <v/>
      </c>
      <c r="O14" s="1786" t="e">
        <f t="shared" si="17"/>
        <v>#N/A</v>
      </c>
      <c r="Q14" s="1977" t="s">
        <v>867</v>
      </c>
      <c r="R14" s="1984" t="s">
        <v>4620</v>
      </c>
      <c r="S14" s="1984" t="s">
        <v>4620</v>
      </c>
      <c r="T14" s="1211" t="s">
        <v>1016</v>
      </c>
      <c r="U14" s="1364" t="s">
        <v>1016</v>
      </c>
      <c r="Z14" s="1981" t="s">
        <v>4618</v>
      </c>
    </row>
    <row r="15" spans="1:26" ht="35.1" customHeight="1">
      <c r="A15" s="1324"/>
      <c r="D15" s="1968"/>
      <c r="E15" s="1211"/>
      <c r="G15" s="1969" t="e">
        <f>'NT-VT'!A19</f>
        <v>#N/A</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4781</v>
      </c>
      <c r="Z15" s="1981" t="s">
        <v>4193</v>
      </c>
    </row>
    <row r="16" spans="1:26" ht="35.1" customHeight="1">
      <c r="A16" s="1324"/>
      <c r="D16" s="1968"/>
      <c r="E16" s="1211"/>
      <c r="G16" s="1969" t="e">
        <f>'NT-VT'!A20</f>
        <v>#N/A</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4717</v>
      </c>
      <c r="U16" s="1364">
        <v>43525</v>
      </c>
      <c r="X16" s="1211" t="s">
        <v>4782</v>
      </c>
      <c r="Z16" s="1981" t="s">
        <v>4189</v>
      </c>
    </row>
    <row r="17" spans="1:26" ht="35.1" customHeight="1">
      <c r="A17" s="1983"/>
      <c r="D17" s="1968"/>
      <c r="E17" s="1985"/>
      <c r="G17" s="1969" t="e">
        <f>'NT-VT'!A21</f>
        <v>#N/A</v>
      </c>
      <c r="H17" s="1970" t="str">
        <f t="shared" si="13"/>
        <v>nt</v>
      </c>
      <c r="I17" s="1970" t="str">
        <f t="shared" si="14"/>
        <v>nt</v>
      </c>
      <c r="J17" s="1978" t="s">
        <v>4938</v>
      </c>
      <c r="K17" s="1979">
        <v>43954</v>
      </c>
      <c r="L17" s="2987" t="str">
        <f t="shared" si="15"/>
        <v/>
      </c>
      <c r="M17" s="1999" t="str">
        <f t="shared" si="16"/>
        <v/>
      </c>
      <c r="O17" s="1786" t="e">
        <f t="shared" si="17"/>
        <v>#N/A</v>
      </c>
      <c r="Q17" s="1977" t="s">
        <v>1222</v>
      </c>
      <c r="R17" s="1980" t="s">
        <v>4195</v>
      </c>
      <c r="S17" s="1980" t="s">
        <v>4195</v>
      </c>
      <c r="T17" s="1982" t="s">
        <v>4723</v>
      </c>
      <c r="U17" s="1364">
        <v>43626</v>
      </c>
      <c r="X17" s="1211" t="s">
        <v>4779</v>
      </c>
      <c r="Z17" s="1981" t="s">
        <v>4533</v>
      </c>
    </row>
    <row r="18" spans="1:26" ht="35.1" customHeight="1">
      <c r="A18" s="1983"/>
      <c r="D18" s="1968"/>
      <c r="G18" s="1969" t="e">
        <f>'NT-VT'!A22</f>
        <v>#N/A</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4781</v>
      </c>
      <c r="Z18" s="1981" t="s">
        <v>4766</v>
      </c>
    </row>
    <row r="19" spans="1:26" ht="35.1" customHeight="1">
      <c r="A19" s="1983"/>
      <c r="D19" s="1968"/>
      <c r="E19" s="1211"/>
      <c r="G19" s="1969" t="e">
        <f>'NT-VT'!A23</f>
        <v>#N/A</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4783</v>
      </c>
      <c r="U19" s="1364">
        <v>43356</v>
      </c>
      <c r="X19" s="1211" t="s">
        <v>4779</v>
      </c>
      <c r="Z19" s="1981" t="s">
        <v>4187</v>
      </c>
    </row>
    <row r="20" spans="1:26" s="1211" customFormat="1" ht="35.1" customHeight="1">
      <c r="D20" s="1968"/>
      <c r="E20" s="1977"/>
      <c r="G20" s="1969" t="e">
        <f>'NT-VT'!A24</f>
        <v>#N/A</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4782</v>
      </c>
    </row>
    <row r="21" spans="1:26" s="1211" customFormat="1" ht="35.1" customHeight="1">
      <c r="D21" s="1968"/>
      <c r="E21" s="1977"/>
      <c r="G21" s="1969" t="e">
        <f>'NT-VT'!A25</f>
        <v>#N/A</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4754</v>
      </c>
      <c r="R21" s="1980" t="s">
        <v>4195</v>
      </c>
      <c r="S21" s="1980" t="s">
        <v>4195</v>
      </c>
      <c r="T21" s="1211" t="s">
        <v>1016</v>
      </c>
      <c r="U21" s="1364" t="s">
        <v>1016</v>
      </c>
      <c r="X21" s="1211" t="s">
        <v>4779</v>
      </c>
    </row>
    <row r="22" spans="1:26" s="1211" customFormat="1" ht="35.1" customHeight="1">
      <c r="E22" s="1977"/>
      <c r="G22" s="1969" t="e">
        <f>'NT-VT'!A26</f>
        <v>#N/A</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4770</v>
      </c>
      <c r="R22" s="1980" t="s">
        <v>4195</v>
      </c>
      <c r="S22" s="1980" t="s">
        <v>4195</v>
      </c>
      <c r="T22" s="1211" t="s">
        <v>1016</v>
      </c>
      <c r="U22" s="1364" t="s">
        <v>4771</v>
      </c>
      <c r="X22" s="1211" t="s">
        <v>4779</v>
      </c>
    </row>
    <row r="23" spans="1:26" s="1211" customFormat="1" ht="35.1" customHeight="1">
      <c r="E23" s="1977"/>
      <c r="G23" s="1969" t="e">
        <f>'NT-VT'!A27</f>
        <v>#N/A</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4784</v>
      </c>
      <c r="R23" s="1980" t="s">
        <v>4195</v>
      </c>
      <c r="S23" s="1980" t="s">
        <v>4195</v>
      </c>
      <c r="T23" s="1211" t="s">
        <v>4785</v>
      </c>
      <c r="U23" s="1364">
        <v>43721</v>
      </c>
      <c r="X23" s="1211" t="s">
        <v>4779</v>
      </c>
    </row>
    <row r="24" spans="1:26" s="1211" customFormat="1" ht="35.1" customHeight="1">
      <c r="E24" s="1977"/>
      <c r="G24" s="1969" t="e">
        <f>'NT-VT'!A28</f>
        <v>#N/A</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4515</v>
      </c>
      <c r="R24" s="1980" t="s">
        <v>4195</v>
      </c>
      <c r="S24" s="1980" t="s">
        <v>4195</v>
      </c>
      <c r="T24" s="1211" t="s">
        <v>4786</v>
      </c>
      <c r="U24" s="1364">
        <v>43805</v>
      </c>
      <c r="X24" s="1211" t="s">
        <v>4779</v>
      </c>
    </row>
    <row r="25" spans="1:26" s="1211" customFormat="1" ht="35.1" customHeight="1">
      <c r="E25" s="1977"/>
      <c r="G25" s="1969" t="e">
        <f>'NT-VT'!A29</f>
        <v>#N/A</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4787</v>
      </c>
      <c r="R25" s="1980" t="s">
        <v>4195</v>
      </c>
      <c r="S25" s="1980" t="s">
        <v>4195</v>
      </c>
      <c r="T25" s="1211" t="s">
        <v>4788</v>
      </c>
      <c r="U25" s="1364">
        <v>43668</v>
      </c>
      <c r="X25" s="1211" t="s">
        <v>4779</v>
      </c>
    </row>
    <row r="26" spans="1:26" s="1211" customFormat="1" ht="35.1" customHeight="1">
      <c r="E26" s="1977"/>
      <c r="G26" s="1969" t="e">
        <f>'NT-VT'!A30</f>
        <v>#N/A</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4789</v>
      </c>
      <c r="U26" s="1364">
        <v>43356</v>
      </c>
      <c r="X26" s="1211" t="s">
        <v>4779</v>
      </c>
    </row>
    <row r="27" spans="1:26" s="1211" customFormat="1" ht="35.1" customHeight="1">
      <c r="E27" s="1977"/>
      <c r="G27" s="1969" t="e">
        <f>'NT-VT'!A31</f>
        <v>#N/A</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4472</v>
      </c>
      <c r="S27" s="1206" t="s">
        <v>4472</v>
      </c>
      <c r="T27" s="1211" t="s">
        <v>4792</v>
      </c>
      <c r="U27" s="1976">
        <v>43864</v>
      </c>
      <c r="V27" s="1211" t="s">
        <v>4718</v>
      </c>
      <c r="W27" s="1364">
        <v>43462</v>
      </c>
    </row>
    <row r="28" spans="1:26" s="1211" customFormat="1" ht="35.1" customHeight="1">
      <c r="E28" s="1977"/>
      <c r="G28" s="1969" t="e">
        <f>'NT-VT'!A32</f>
        <v>#N/A</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4790</v>
      </c>
    </row>
    <row r="29" spans="1:26" s="1211" customFormat="1" ht="35.1" customHeight="1">
      <c r="E29" s="1977"/>
      <c r="G29" s="1969" t="e">
        <f>'NT-VT'!A33</f>
        <v>#N/A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4618</v>
      </c>
      <c r="S29" s="1980" t="s">
        <v>4188</v>
      </c>
      <c r="T29" s="1211" t="s">
        <v>1016</v>
      </c>
      <c r="U29" s="1364" t="s">
        <v>1016</v>
      </c>
      <c r="X29" s="1211" t="s">
        <v>4791</v>
      </c>
    </row>
    <row r="30" spans="1:26" s="1211" customFormat="1" ht="35.1" customHeight="1">
      <c r="E30" s="1977"/>
      <c r="G30" s="1969" t="e">
        <f>'NT-VT'!A34</f>
        <v>#N/A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4781</v>
      </c>
    </row>
    <row r="31" spans="1:26" s="1211" customFormat="1" ht="35.1" customHeight="1">
      <c r="E31" s="1977"/>
      <c r="G31" s="1969" t="e">
        <f>'NT-VT'!A35</f>
        <v>#N/A</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4793</v>
      </c>
      <c r="U31" s="1364">
        <v>43805</v>
      </c>
      <c r="X31" s="1211" t="s">
        <v>4779</v>
      </c>
    </row>
    <row r="32" spans="1:26" s="1211" customFormat="1" ht="35.1" customHeight="1">
      <c r="E32" s="1977"/>
      <c r="G32" s="1969" t="e">
        <f>'NT-VT'!A36</f>
        <v>#N/A</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4781</v>
      </c>
    </row>
    <row r="33" spans="5:24" s="1211" customFormat="1" ht="35.1" customHeight="1">
      <c r="E33" s="1977"/>
      <c r="G33" s="1969" t="e">
        <f>'NT-VT'!A37</f>
        <v>#N/A</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4642</v>
      </c>
      <c r="R33" s="1975" t="s">
        <v>4472</v>
      </c>
      <c r="S33" s="1975" t="s">
        <v>4472</v>
      </c>
      <c r="U33" s="1364"/>
    </row>
    <row r="34" spans="5:24" s="1211" customFormat="1" ht="35.1" customHeight="1">
      <c r="E34" s="1977"/>
      <c r="G34" s="1969" t="e">
        <f>'NT-VT'!A38</f>
        <v>#N/A</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4472</v>
      </c>
      <c r="S34" s="1975" t="s">
        <v>4472</v>
      </c>
      <c r="U34" s="1364"/>
    </row>
    <row r="35" spans="5:24" s="1211" customFormat="1" ht="35.1" customHeight="1">
      <c r="E35" s="1977"/>
      <c r="G35" s="1969" t="e">
        <f>'NT-VT'!A39</f>
        <v>#N/A</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e">
        <f>'NT-VT'!A40</f>
        <v>#N/A</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e">
        <f>'NT-VT'!A41</f>
        <v>#N/A</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4659</v>
      </c>
      <c r="R37" s="1980" t="s">
        <v>4195</v>
      </c>
      <c r="S37" s="1980" t="s">
        <v>4195</v>
      </c>
      <c r="U37" s="1364"/>
    </row>
    <row r="38" spans="5:24" s="1211" customFormat="1" ht="35.1" customHeight="1">
      <c r="E38" s="1977"/>
      <c r="G38" s="1969" t="e">
        <f>'NT-VT'!A42</f>
        <v>#N/A</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5088</v>
      </c>
      <c r="R38" s="1980" t="s">
        <v>4195</v>
      </c>
      <c r="S38" s="1980" t="s">
        <v>4195</v>
      </c>
      <c r="U38" s="1364"/>
      <c r="X38" s="1211" t="s">
        <v>4780</v>
      </c>
    </row>
    <row r="39" spans="5:24" s="1211" customFormat="1" ht="35.1" customHeight="1">
      <c r="E39" s="1977"/>
      <c r="G39" s="1969" t="e">
        <f>'NT-VT'!A43</f>
        <v>#N/A</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6266</v>
      </c>
      <c r="R39" s="1206" t="s">
        <v>6402</v>
      </c>
      <c r="S39" s="1206" t="s">
        <v>6402</v>
      </c>
      <c r="U39" s="1364"/>
      <c r="X39" s="1211" t="s">
        <v>6403</v>
      </c>
    </row>
    <row r="40" spans="5:24" s="1211" customFormat="1" ht="35.1" customHeight="1">
      <c r="E40" s="1977"/>
      <c r="G40" s="1969" t="e">
        <f>'NT-VT'!A44</f>
        <v>#N/A</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6424</v>
      </c>
      <c r="R40" s="1980" t="s">
        <v>4195</v>
      </c>
      <c r="S40" s="1980" t="s">
        <v>4195</v>
      </c>
      <c r="U40" s="1364"/>
      <c r="X40" s="1211" t="s">
        <v>4780</v>
      </c>
    </row>
    <row r="41" spans="5:24" s="1211" customFormat="1" ht="35.1" customHeight="1">
      <c r="E41" s="1977"/>
      <c r="G41" s="1969" t="e">
        <f>'NT-VT'!A45</f>
        <v>#N/A</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4781</v>
      </c>
    </row>
    <row r="42" spans="5:24" s="1211" customFormat="1" ht="35.1" customHeight="1">
      <c r="E42" s="1977"/>
      <c r="G42" s="1969" t="e">
        <f>'NT-VT'!A46</f>
        <v>#N/A</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6529</v>
      </c>
      <c r="R42" s="1980" t="s">
        <v>4195</v>
      </c>
      <c r="S42" s="1980" t="s">
        <v>4195</v>
      </c>
      <c r="U42" s="1364"/>
      <c r="X42" s="1211" t="s">
        <v>4780</v>
      </c>
    </row>
    <row r="43" spans="5:24" s="1211" customFormat="1" ht="35.1" customHeight="1">
      <c r="E43" s="1977"/>
      <c r="G43" s="1969" t="e">
        <f>'NT-VT'!A47</f>
        <v>#N/A</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6528</v>
      </c>
      <c r="R43" s="1980" t="s">
        <v>4195</v>
      </c>
      <c r="S43" s="1980" t="s">
        <v>4195</v>
      </c>
      <c r="U43" s="1364"/>
      <c r="X43" s="1211" t="s">
        <v>4780</v>
      </c>
    </row>
    <row r="44" spans="5:24" s="1211" customFormat="1" ht="35.1" customHeight="1">
      <c r="E44" s="1977"/>
      <c r="G44" s="1969" t="e">
        <f>'NT-VT'!A48</f>
        <v>#N/A</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4902</v>
      </c>
      <c r="R44" s="1980" t="s">
        <v>4195</v>
      </c>
      <c r="S44" s="1980" t="s">
        <v>4195</v>
      </c>
      <c r="U44" s="1364"/>
      <c r="X44" s="1211" t="s">
        <v>4780</v>
      </c>
    </row>
    <row r="45" spans="5:24" s="1211" customFormat="1" ht="35.1" customHeight="1">
      <c r="E45" s="1977"/>
      <c r="G45" s="1969" t="e">
        <f>'NT-VT'!A49</f>
        <v>#N/A</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6514</v>
      </c>
      <c r="R45" s="1980" t="s">
        <v>4195</v>
      </c>
      <c r="S45" s="1980" t="s">
        <v>4195</v>
      </c>
      <c r="U45" s="1364"/>
      <c r="X45" s="1211" t="s">
        <v>4780</v>
      </c>
    </row>
    <row r="46" spans="5:24" s="1211" customFormat="1" ht="35.1" customHeight="1">
      <c r="E46" s="1977"/>
      <c r="G46" s="1969" t="e">
        <f>'NT-VT'!A50</f>
        <v>#N/A</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4790</v>
      </c>
    </row>
    <row r="47" spans="5:24" s="1211" customFormat="1" ht="35.1" customHeight="1">
      <c r="E47" s="1977"/>
      <c r="G47" s="1969" t="e">
        <f>'NT-VT'!A51</f>
        <v>#N/A</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e">
        <f>'NT-VT'!A52</f>
        <v>#N/A</v>
      </c>
      <c r="H48" s="1970" t="str">
        <f t="shared" si="20"/>
        <v>nt</v>
      </c>
      <c r="I48" s="1970" t="str">
        <f t="shared" si="21"/>
        <v>nt</v>
      </c>
      <c r="J48" s="1978" t="str">
        <f t="shared" si="18"/>
        <v>nt</v>
      </c>
      <c r="K48" s="1979" t="str">
        <f t="shared" si="19"/>
        <v>nt</v>
      </c>
      <c r="M48" s="1999" t="str">
        <f t="shared" si="22"/>
        <v/>
      </c>
      <c r="O48" s="1786" t="e">
        <f t="shared" si="23"/>
        <v>#N/A</v>
      </c>
      <c r="Q48" s="1977" t="s">
        <v>6454</v>
      </c>
      <c r="R48" s="1206" t="s">
        <v>6402</v>
      </c>
      <c r="S48" s="1206" t="s">
        <v>6402</v>
      </c>
      <c r="X48" s="1211" t="s">
        <v>6403</v>
      </c>
    </row>
    <row r="49" spans="5:21" ht="35.1" customHeight="1">
      <c r="G49" s="1969" t="e">
        <f>'NT-VT'!A53</f>
        <v>#N/A</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e">
        <f>'NT-VT'!A54</f>
        <v>#N/A</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e">
        <f>'NT-VT'!A55</f>
        <v>#N/A</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e">
        <f>'NT-VT'!A56</f>
        <v>#N/A</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e">
        <f>'NT-VT'!A57</f>
        <v>#N/A</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e">
        <f>'NT-VT'!A58</f>
        <v>#N/A</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e">
        <f>'NT-VT'!A59</f>
        <v>#N/A</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e">
        <f>'NT-VT'!A60</f>
        <v>#N/A</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e">
        <f>'NT-VT'!A61</f>
        <v>#N/A</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e">
        <f>'NT-VT'!A62</f>
        <v>#N/A</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e">
        <f>'NT-VT'!A63</f>
        <v>#N/A</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e">
        <f>'NT-VT'!A64</f>
        <v>#N/A</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e">
        <f>'NT-VT'!A65</f>
        <v>#N/A</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e">
        <f>'NT-VT'!A66</f>
        <v>#N/A</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e">
        <f>'NT-VT'!A67</f>
        <v>#N/A</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e">
        <f>'NT-VT'!A68</f>
        <v>#N/A</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4392</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4393</v>
      </c>
      <c r="BL152" s="1327"/>
      <c r="BM152" s="956"/>
      <c r="BN152" s="958"/>
      <c r="BP152" s="1968"/>
    </row>
    <row r="153" spans="5:68" ht="35.1" customHeight="1">
      <c r="BJ153" s="956"/>
      <c r="BK153" s="1326" t="s">
        <v>4394</v>
      </c>
      <c r="BL153" s="1327"/>
      <c r="BM153" s="956"/>
      <c r="BN153" s="958"/>
      <c r="BP153" s="1968"/>
    </row>
    <row r="154" spans="5:68" ht="35.1" customHeight="1">
      <c r="BJ154" s="956"/>
      <c r="BK154" s="1326" t="s">
        <v>4395</v>
      </c>
      <c r="BL154" s="1327"/>
      <c r="BM154" s="956"/>
      <c r="BN154" s="958"/>
      <c r="BP154" s="1968"/>
    </row>
    <row r="155" spans="5:68" ht="35.1" customHeight="1">
      <c r="BJ155" s="959"/>
      <c r="BK155" s="1326" t="s">
        <v>4396</v>
      </c>
      <c r="BL155" s="1327"/>
      <c r="BM155" s="959"/>
      <c r="BN155" s="961"/>
      <c r="BP155" s="1968"/>
    </row>
    <row r="156" spans="5:68" ht="35.1" customHeight="1">
      <c r="BJ156" s="947" t="s">
        <v>501</v>
      </c>
      <c r="BK156" s="1328" t="s">
        <v>4397</v>
      </c>
      <c r="BL156" s="1329"/>
      <c r="BM156" s="849" t="e">
        <v>#N/A</v>
      </c>
      <c r="BN156" s="854"/>
      <c r="BP156" s="1968"/>
    </row>
    <row r="157" spans="5:68" ht="35.1" customHeight="1">
      <c r="BJ157" s="954">
        <v>1</v>
      </c>
      <c r="BK157" s="1326" t="s">
        <v>4392</v>
      </c>
      <c r="BL157" s="1327"/>
      <c r="BM157" s="955"/>
      <c r="BN157" s="939" t="s">
        <v>4186</v>
      </c>
      <c r="BP157" s="1968"/>
    </row>
    <row r="158" spans="5:68" ht="35.1" customHeight="1">
      <c r="BJ158" s="956"/>
      <c r="BK158" s="1326" t="s">
        <v>4392</v>
      </c>
      <c r="BL158" s="1327"/>
      <c r="BM158" s="957"/>
      <c r="BN158" s="958"/>
      <c r="BP158" s="1968"/>
    </row>
    <row r="159" spans="5:68" ht="35.1" customHeight="1">
      <c r="BJ159" s="956"/>
      <c r="BK159" s="1326" t="s">
        <v>4392</v>
      </c>
      <c r="BL159" s="1327"/>
      <c r="BM159" s="957"/>
      <c r="BN159" s="958"/>
      <c r="BP159" s="1968"/>
    </row>
    <row r="160" spans="5:68" ht="35.1" customHeight="1">
      <c r="BJ160" s="956"/>
      <c r="BK160" s="1326" t="s">
        <v>4392</v>
      </c>
      <c r="BL160" s="1327"/>
      <c r="BM160" s="957"/>
      <c r="BN160" s="958"/>
      <c r="BP160" s="1968"/>
    </row>
    <row r="161" spans="62:68" ht="35.1" customHeight="1">
      <c r="BJ161" s="956"/>
      <c r="BK161" s="1326" t="s">
        <v>4392</v>
      </c>
      <c r="BL161" s="1327"/>
      <c r="BM161" s="957"/>
      <c r="BN161" s="958"/>
      <c r="BP161" s="1968"/>
    </row>
    <row r="162" spans="62:68" ht="35.1" customHeight="1">
      <c r="BJ162" s="956"/>
      <c r="BK162" s="1326" t="s">
        <v>4392</v>
      </c>
      <c r="BL162" s="1327"/>
      <c r="BM162" s="957"/>
      <c r="BN162" s="958"/>
      <c r="BP162" s="1968"/>
    </row>
    <row r="163" spans="62:68" ht="35.1" customHeight="1">
      <c r="BJ163" s="959"/>
      <c r="BK163" s="1326" t="s">
        <v>4392</v>
      </c>
      <c r="BL163" s="1327"/>
      <c r="BM163" s="960"/>
      <c r="BN163" s="961"/>
      <c r="BP163" s="1968"/>
    </row>
  </sheetData>
  <phoneticPr fontId="0" type="noConversion"/>
  <conditionalFormatting sqref="G2:G134">
    <cfRule type="duplicateValues" dxfId="34" priority="22"/>
  </conditionalFormatting>
  <conditionalFormatting sqref="G44">
    <cfRule type="duplicateValues" dxfId="33" priority="21"/>
  </conditionalFormatting>
  <conditionalFormatting sqref="G47">
    <cfRule type="duplicateValues" dxfId="32" priority="20"/>
  </conditionalFormatting>
  <conditionalFormatting sqref="G52">
    <cfRule type="duplicateValues" dxfId="31" priority="19"/>
  </conditionalFormatting>
  <conditionalFormatting sqref="G53:G55">
    <cfRule type="duplicateValues" dxfId="30" priority="18"/>
  </conditionalFormatting>
  <conditionalFormatting sqref="G56:G57">
    <cfRule type="duplicateValues" dxfId="29" priority="17"/>
  </conditionalFormatting>
  <conditionalFormatting sqref="G43">
    <cfRule type="duplicateValues" dxfId="28" priority="16"/>
  </conditionalFormatting>
  <conditionalFormatting sqref="G203:G1048576 G149:G193 G1:G145">
    <cfRule type="duplicateValues" dxfId="27" priority="15"/>
  </conditionalFormatting>
  <conditionalFormatting sqref="Q23 Q33 Q1:Q10 Q35:Q39 Q42:Q45 Q47 Q25:Q30 Q12:Q21 Q49:Q1048576">
    <cfRule type="duplicateValues" dxfId="26" priority="14"/>
  </conditionalFormatting>
  <conditionalFormatting sqref="Q22">
    <cfRule type="duplicateValues" dxfId="25" priority="13"/>
  </conditionalFormatting>
  <conditionalFormatting sqref="Q24">
    <cfRule type="duplicateValues" dxfId="24" priority="12"/>
  </conditionalFormatting>
  <conditionalFormatting sqref="Q31">
    <cfRule type="duplicateValues" dxfId="23" priority="11"/>
  </conditionalFormatting>
  <conditionalFormatting sqref="Q32">
    <cfRule type="duplicateValues" dxfId="22" priority="10"/>
  </conditionalFormatting>
  <conditionalFormatting sqref="Q34">
    <cfRule type="duplicateValues" dxfId="21" priority="9"/>
  </conditionalFormatting>
  <conditionalFormatting sqref="Q41">
    <cfRule type="duplicateValues" dxfId="20" priority="7"/>
  </conditionalFormatting>
  <conditionalFormatting sqref="Q40">
    <cfRule type="duplicateValues" dxfId="19" priority="6"/>
  </conditionalFormatting>
  <conditionalFormatting sqref="Q46">
    <cfRule type="duplicateValues" dxfId="18" priority="5"/>
  </conditionalFormatting>
  <conditionalFormatting sqref="Q11">
    <cfRule type="duplicateValues" dxfId="17" priority="4"/>
  </conditionalFormatting>
  <conditionalFormatting sqref="Q11">
    <cfRule type="duplicateValues" dxfId="16" priority="3"/>
  </conditionalFormatting>
  <conditionalFormatting sqref="Q48">
    <cfRule type="duplicateValues" dxfId="15" priority="2"/>
  </conditionalFormatting>
  <conditionalFormatting sqref="G1">
    <cfRule type="duplicateValues" dxfId="14"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9"/>
      <c r="B1" s="3253" t="s">
        <v>4172</v>
      </c>
      <c r="C1" s="3253"/>
      <c r="D1" s="3253"/>
      <c r="E1" s="3253"/>
      <c r="F1" s="3253"/>
      <c r="G1" s="3253"/>
      <c r="H1" s="3253"/>
      <c r="I1" s="3253"/>
      <c r="J1" s="3253"/>
      <c r="K1" s="3254"/>
      <c r="L1" s="3253"/>
      <c r="M1" s="3253"/>
      <c r="N1" s="3253"/>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Xây dựng mới TBA 3P-1000kVA Công ty cổ phần Xuân Trường Solar</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55" t="str">
        <f>WORD!Z2&amp;", ngày            tháng           năm 2020"</f>
        <v>Xuân Hưng, ngày            tháng           năm 2020</v>
      </c>
      <c r="C3" s="3255"/>
      <c r="D3" s="3255"/>
      <c r="E3" s="3255"/>
      <c r="F3" s="3255"/>
      <c r="G3" s="3255"/>
      <c r="H3" s="3256"/>
      <c r="I3" s="3256"/>
      <c r="J3" s="3255"/>
      <c r="K3" s="3257"/>
      <c r="L3" s="3255"/>
      <c r="M3" s="3255"/>
      <c r="N3" s="3255"/>
      <c r="O3" s="938"/>
      <c r="P3" s="938"/>
      <c r="Q3" s="1362"/>
      <c r="R3" s="1203"/>
      <c r="S3" s="1203"/>
      <c r="T3" s="1203"/>
      <c r="U3" s="1203"/>
      <c r="V3" s="1203"/>
      <c r="W3" s="1203"/>
      <c r="X3" s="1203"/>
      <c r="Y3" s="1203"/>
      <c r="Z3" s="1203"/>
      <c r="AA3" s="1203"/>
    </row>
    <row r="4" spans="1:27" s="825" customFormat="1" ht="44.25" customHeight="1">
      <c r="A4" s="1349"/>
      <c r="B4" s="3252" t="s">
        <v>1708</v>
      </c>
      <c r="C4" s="3252" t="s">
        <v>4174</v>
      </c>
      <c r="D4" s="3252" t="s">
        <v>4175</v>
      </c>
      <c r="E4" s="3252" t="s">
        <v>4176</v>
      </c>
      <c r="F4" s="3252" t="s">
        <v>4177</v>
      </c>
      <c r="G4" s="3252" t="s">
        <v>4178</v>
      </c>
      <c r="H4" s="3252" t="s">
        <v>4482</v>
      </c>
      <c r="I4" s="3252"/>
      <c r="J4" s="3252" t="s">
        <v>4179</v>
      </c>
      <c r="K4" s="3258"/>
      <c r="L4" s="3252" t="s">
        <v>4180</v>
      </c>
      <c r="M4" s="3252"/>
      <c r="N4" s="1345" t="s">
        <v>4181</v>
      </c>
      <c r="O4" s="1351"/>
      <c r="P4" s="1312" t="s">
        <v>4469</v>
      </c>
      <c r="Q4" s="1313"/>
      <c r="R4" s="1350"/>
      <c r="S4" s="824"/>
      <c r="T4" s="824"/>
      <c r="U4" s="824"/>
      <c r="V4" s="824"/>
      <c r="W4" s="824"/>
      <c r="X4" s="824"/>
      <c r="Y4" s="824"/>
      <c r="Z4" s="824"/>
      <c r="AA4" s="824"/>
    </row>
    <row r="5" spans="1:27" s="825" customFormat="1" ht="24.9" customHeight="1">
      <c r="A5" s="1349"/>
      <c r="B5" s="3252"/>
      <c r="C5" s="3252"/>
      <c r="D5" s="3252"/>
      <c r="E5" s="3252"/>
      <c r="F5" s="3252"/>
      <c r="G5" s="3252"/>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e">
        <f>VLOOKUP(ROW()-ROW($A$5),TongHopKL!A:B,2,0)</f>
        <v>#N/A</v>
      </c>
      <c r="B6" s="1596">
        <f>SUM($O$6:O6)</f>
        <v>0</v>
      </c>
      <c r="C6" s="1597" t="e">
        <f>(VLOOKUP(A6,TongHopKL!B:F,5,0))</f>
        <v>#N/A</v>
      </c>
      <c r="D6" s="1598">
        <f>IFERROR(VLOOKUP(A6,DG!A:D,4,0),0)</f>
        <v>0</v>
      </c>
      <c r="E6" s="1599">
        <f>SUMIF(TongHopKL!B:B,'NT-VT'!A6,ThiCong)</f>
        <v>0</v>
      </c>
      <c r="F6" s="1596" t="str">
        <f>IFERROR(VLOOKUP(A6,Solieu!G:M,2,0),"")</f>
        <v/>
      </c>
      <c r="G6" s="1596" t="str">
        <f>IFERROR(VLOOKUP(A6,Solieu!G:M,3,0),"")</f>
        <v/>
      </c>
      <c r="H6" s="1596"/>
      <c r="I6" s="1600"/>
      <c r="J6" s="1601" t="str">
        <f>IFERROR(VLOOKUP(A6,Solieu!G:M,4,0),"")</f>
        <v/>
      </c>
      <c r="K6" s="1602" t="str">
        <f>IFERROR(VLOOKUP(A6,Solieu!G:M,5,0),"")</f>
        <v/>
      </c>
      <c r="L6" s="1774"/>
      <c r="M6" s="1600"/>
      <c r="N6" s="1194" t="s">
        <v>4186</v>
      </c>
      <c r="O6" s="1352" t="str">
        <f>IF(ISERROR(C6),"",1)</f>
        <v/>
      </c>
      <c r="P6" s="52" t="e">
        <f>VLOOKUP(A6,TongHopKL!D:M,8,0)</f>
        <v>#N/A</v>
      </c>
      <c r="Q6" s="1314"/>
      <c r="R6" s="1353"/>
      <c r="S6" s="826"/>
      <c r="T6" s="826"/>
      <c r="U6" s="824"/>
      <c r="V6" s="824"/>
      <c r="W6" s="824"/>
      <c r="X6" s="824"/>
      <c r="Y6" s="824"/>
      <c r="Z6" s="824"/>
      <c r="AA6" s="824"/>
    </row>
    <row r="7" spans="1:27" s="825" customFormat="1" ht="34.950000000000003" customHeight="1">
      <c r="A7" s="1956" t="e">
        <f>VLOOKUP(ROW()-ROW($A$5),TongHopKL!A:B,2,0)</f>
        <v>#N/A</v>
      </c>
      <c r="B7" s="1596">
        <f>SUM($O$6:O7)</f>
        <v>0</v>
      </c>
      <c r="C7" s="1597" t="e">
        <f>(VLOOKUP(A7,TongHopKL!B:F,5,0))</f>
        <v>#N/A</v>
      </c>
      <c r="D7" s="1598">
        <f>IFERROR(VLOOKUP(A7,DG!A:D,4,0),0)</f>
        <v>0</v>
      </c>
      <c r="E7" s="1599">
        <f>SUMIF(TongHopKL!B:B,'NT-VT'!A7,ThiCong)</f>
        <v>0</v>
      </c>
      <c r="F7" s="1596" t="str">
        <f>IFERROR(VLOOKUP(A7,Solieu!G:M,2,0),"")</f>
        <v/>
      </c>
      <c r="G7" s="1596" t="str">
        <f>IFERROR(VLOOKUP(A7,Solieu!G:M,3,0),"")</f>
        <v/>
      </c>
      <c r="H7" s="1596"/>
      <c r="I7" s="1600"/>
      <c r="J7" s="1601" t="str">
        <f>IFERROR(VLOOKUP(A7,Solieu!G:M,4,0),"")</f>
        <v/>
      </c>
      <c r="K7" s="1602" t="str">
        <f>IFERROR(VLOOKUP(A7,Solieu!G:M,5,0),"")</f>
        <v/>
      </c>
      <c r="L7" s="1774" t="str">
        <f>IFERROR(VLOOKUP(A7,Solieu!G:M,6,0),"")</f>
        <v/>
      </c>
      <c r="M7" s="1600" t="str">
        <f>IFERROR(VLOOKUP(A7,Solieu!G:M,7,0),"")</f>
        <v/>
      </c>
      <c r="N7" s="1194" t="s">
        <v>4186</v>
      </c>
      <c r="O7" s="1352" t="str">
        <f t="shared" ref="O7:O70" si="0">IF(ISERROR(C7),"",1)</f>
        <v/>
      </c>
      <c r="P7" s="52" t="e">
        <f>VLOOKUP(A7,TongHopKL!D:M,8,0)</f>
        <v>#N/A</v>
      </c>
      <c r="Q7" s="1314"/>
      <c r="R7" s="1353"/>
      <c r="S7" s="826"/>
      <c r="T7" s="827"/>
      <c r="U7" s="824"/>
      <c r="V7" s="824"/>
      <c r="W7" s="824"/>
      <c r="X7" s="824"/>
      <c r="Y7" s="824"/>
      <c r="Z7" s="824"/>
      <c r="AA7" s="824"/>
    </row>
    <row r="8" spans="1:27" s="825" customFormat="1" ht="34.950000000000003" customHeight="1">
      <c r="A8" s="1956" t="e">
        <f>VLOOKUP(ROW()-ROW($A$5),TongHopKL!A:B,2,0)</f>
        <v>#N/A</v>
      </c>
      <c r="B8" s="1596">
        <f>SUM($O$6:O8)</f>
        <v>0</v>
      </c>
      <c r="C8" s="1597" t="e">
        <f>(VLOOKUP(A8,TongHopKL!B:F,5,0))</f>
        <v>#N/A</v>
      </c>
      <c r="D8" s="1598">
        <f>IFERROR(VLOOKUP(A8,DG!A:D,4,0),0)</f>
        <v>0</v>
      </c>
      <c r="E8" s="1599">
        <f>SUMIF(TongHopKL!B:B,'NT-VT'!A8,ThiCong)</f>
        <v>0</v>
      </c>
      <c r="F8" s="1596" t="str">
        <f>IFERROR(VLOOKUP(A8,Solieu!G:M,2,0),"")</f>
        <v/>
      </c>
      <c r="G8" s="1596" t="str">
        <f>IFERROR(VLOOKUP(A8,Solieu!G:M,3,0),"")</f>
        <v/>
      </c>
      <c r="H8" s="1596"/>
      <c r="I8" s="1600"/>
      <c r="J8" s="1601" t="str">
        <f>IFERROR(VLOOKUP(A8,Solieu!G:M,4,0),"")</f>
        <v/>
      </c>
      <c r="K8" s="1602" t="str">
        <f>IFERROR(VLOOKUP(A8,Solieu!G:M,5,0),"")</f>
        <v/>
      </c>
      <c r="L8" s="1774" t="str">
        <f>IFERROR(VLOOKUP(A8,Solieu!G:M,6,0),"")</f>
        <v/>
      </c>
      <c r="M8" s="1600" t="str">
        <f>IFERROR(VLOOKUP(A8,Solieu!G:M,7,0),"")</f>
        <v/>
      </c>
      <c r="N8" s="1194" t="s">
        <v>4186</v>
      </c>
      <c r="O8" s="1352" t="str">
        <f t="shared" si="0"/>
        <v/>
      </c>
      <c r="P8" s="52" t="e">
        <f>VLOOKUP(A8,TongHopKL!D:M,8,0)</f>
        <v>#N/A</v>
      </c>
      <c r="Q8" s="1314"/>
      <c r="R8" s="1353"/>
      <c r="S8" s="826"/>
      <c r="T8" s="827"/>
      <c r="U8" s="824"/>
      <c r="V8" s="824"/>
      <c r="W8" s="824"/>
      <c r="X8" s="824"/>
      <c r="Y8" s="824"/>
      <c r="Z8" s="824"/>
      <c r="AA8" s="824"/>
    </row>
    <row r="9" spans="1:27" s="825" customFormat="1" ht="34.950000000000003" customHeight="1">
      <c r="A9" s="1956" t="e">
        <f>VLOOKUP(ROW()-ROW($A$5),TongHopKL!A:B,2,0)</f>
        <v>#N/A</v>
      </c>
      <c r="B9" s="1596">
        <f>SUM($O$6:O9)</f>
        <v>0</v>
      </c>
      <c r="C9" s="1597" t="e">
        <f>(VLOOKUP(A9,TongHopKL!B:F,5,0))</f>
        <v>#N/A</v>
      </c>
      <c r="D9" s="1598">
        <f>IFERROR(VLOOKUP(A9,DG!A:D,4,0),0)</f>
        <v>0</v>
      </c>
      <c r="E9" s="1599">
        <f>SUMIF(TongHopKL!B:B,'NT-VT'!A9,ThiCong)</f>
        <v>0</v>
      </c>
      <c r="F9" s="1596" t="str">
        <f>IFERROR(VLOOKUP(A9,Solieu!G:M,2,0),"")</f>
        <v/>
      </c>
      <c r="G9" s="1596" t="str">
        <f>IFERROR(VLOOKUP(A9,Solieu!G:M,3,0),"")</f>
        <v/>
      </c>
      <c r="H9" s="1596"/>
      <c r="I9" s="1600"/>
      <c r="J9" s="1601" t="str">
        <f>IFERROR(VLOOKUP(A9,Solieu!G:M,4,0),"")</f>
        <v/>
      </c>
      <c r="K9" s="1602" t="str">
        <f>IFERROR(VLOOKUP(A9,Solieu!G:M,5,0),"")</f>
        <v/>
      </c>
      <c r="L9" s="1774" t="str">
        <f>IFERROR(VLOOKUP(A9,Solieu!G:M,6,0),"")</f>
        <v/>
      </c>
      <c r="M9" s="1600" t="str">
        <f>IFERROR(VLOOKUP(A9,Solieu!G:M,7,0),"")</f>
        <v/>
      </c>
      <c r="N9" s="1194" t="s">
        <v>4186</v>
      </c>
      <c r="O9" s="1352" t="str">
        <f t="shared" si="0"/>
        <v/>
      </c>
      <c r="P9" s="52" t="e">
        <f>VLOOKUP(A9,TongHopKL!D:M,8,0)</f>
        <v>#N/A</v>
      </c>
      <c r="Q9" s="1314"/>
      <c r="R9" s="1350"/>
      <c r="S9" s="824"/>
      <c r="T9" s="827"/>
      <c r="U9" s="824"/>
      <c r="V9" s="824"/>
      <c r="W9" s="824"/>
      <c r="X9" s="824"/>
      <c r="Y9" s="824"/>
      <c r="Z9" s="824"/>
      <c r="AA9" s="824"/>
    </row>
    <row r="10" spans="1:27" s="825" customFormat="1" ht="34.950000000000003" customHeight="1">
      <c r="A10" s="1956" t="e">
        <f>VLOOKUP(ROW()-ROW($A$5),TongHopKL!A:B,2,0)</f>
        <v>#N/A</v>
      </c>
      <c r="B10" s="1596">
        <f>SUM($O$6:O10)</f>
        <v>0</v>
      </c>
      <c r="C10" s="1597" t="e">
        <f>(VLOOKUP(A10,TongHopKL!B:F,5,0))</f>
        <v>#N/A</v>
      </c>
      <c r="D10" s="1598">
        <f>IFERROR(VLOOKUP(A10,DG!A:D,4,0),0)</f>
        <v>0</v>
      </c>
      <c r="E10" s="1599">
        <f>SUMIF(TongHopKL!B:B,'NT-VT'!A10,ThiCong)</f>
        <v>0</v>
      </c>
      <c r="F10" s="1596" t="str">
        <f>IFERROR(VLOOKUP(A10,Solieu!G:M,2,0),"")</f>
        <v/>
      </c>
      <c r="G10" s="1596" t="str">
        <f>IFERROR(VLOOKUP(A10,Solieu!G:M,3,0),"")</f>
        <v/>
      </c>
      <c r="H10" s="1596"/>
      <c r="I10" s="1600"/>
      <c r="J10" s="1601" t="str">
        <f>IFERROR(VLOOKUP(A10,Solieu!G:M,4,0),"")</f>
        <v/>
      </c>
      <c r="K10" s="1602" t="str">
        <f>IFERROR(VLOOKUP(A10,Solieu!G:M,5,0),"")</f>
        <v/>
      </c>
      <c r="L10" s="1774" t="str">
        <f>IFERROR(VLOOKUP(A10,Solieu!G:M,6,0),"")</f>
        <v/>
      </c>
      <c r="M10" s="1600" t="str">
        <f>IFERROR(VLOOKUP(A10,Solieu!G:M,7,0),"")</f>
        <v/>
      </c>
      <c r="N10" s="1194" t="s">
        <v>4186</v>
      </c>
      <c r="O10" s="1352" t="str">
        <f t="shared" si="0"/>
        <v/>
      </c>
      <c r="P10" s="52" t="e">
        <f>VLOOKUP(A10,TongHopKL!D:M,8,0)</f>
        <v>#N/A</v>
      </c>
      <c r="Q10" s="1314"/>
      <c r="R10" s="1350"/>
      <c r="S10" s="824"/>
      <c r="T10" s="827"/>
      <c r="U10" s="824"/>
      <c r="V10" s="824"/>
      <c r="W10" s="824"/>
      <c r="X10" s="824"/>
      <c r="Y10" s="824"/>
      <c r="Z10" s="824"/>
      <c r="AA10" s="824"/>
    </row>
    <row r="11" spans="1:27" s="1193" customFormat="1" ht="34.950000000000003" customHeight="1">
      <c r="A11" s="1956" t="e">
        <f>VLOOKUP(ROW()-ROW($A$5),TongHopKL!A:B,2,0)</f>
        <v>#N/A</v>
      </c>
      <c r="B11" s="1596">
        <f>SUM($O$6:O11)</f>
        <v>0</v>
      </c>
      <c r="C11" s="1597" t="e">
        <f>(VLOOKUP(A11,TongHopKL!B:F,5,0))</f>
        <v>#N/A</v>
      </c>
      <c r="D11" s="1598">
        <f>IFERROR(VLOOKUP(A11,DG!A:D,4,0),0)</f>
        <v>0</v>
      </c>
      <c r="E11" s="1599">
        <f>SUMIF(TongHopKL!B:B,'NT-VT'!A11,ThiCong)</f>
        <v>0</v>
      </c>
      <c r="F11" s="1596" t="str">
        <f>IFERROR(VLOOKUP(A11,Solieu!G:M,2,0),"")</f>
        <v/>
      </c>
      <c r="G11" s="1596" t="str">
        <f>IFERROR(VLOOKUP(A11,Solieu!G:M,3,0),"")</f>
        <v/>
      </c>
      <c r="H11" s="1596"/>
      <c r="I11" s="1600"/>
      <c r="J11" s="1601" t="str">
        <f>IFERROR(VLOOKUP(A11,Solieu!G:M,4,0),"")</f>
        <v/>
      </c>
      <c r="K11" s="1602" t="str">
        <f>IFERROR(VLOOKUP(A11,Solieu!G:M,5,0),"")</f>
        <v/>
      </c>
      <c r="L11" s="1774" t="str">
        <f>IFERROR(VLOOKUP(A11,Solieu!G:M,6,0),"")</f>
        <v/>
      </c>
      <c r="M11" s="1600" t="str">
        <f>IFERROR(VLOOKUP(A11,Solieu!G:M,7,0),"")</f>
        <v/>
      </c>
      <c r="N11" s="1194" t="s">
        <v>4186</v>
      </c>
      <c r="O11" s="1352" t="str">
        <f t="shared" si="0"/>
        <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6" t="e">
        <f>VLOOKUP(ROW()-ROW($A$5),TongHopKL!A:B,2,0)</f>
        <v>#N/A</v>
      </c>
      <c r="B12" s="1596">
        <f>SUM($O$6:O12)</f>
        <v>0</v>
      </c>
      <c r="C12" s="1597" t="e">
        <f>(VLOOKUP(A12,TongHopKL!B:F,5,0))</f>
        <v>#N/A</v>
      </c>
      <c r="D12" s="1598">
        <f>IFERROR(VLOOKUP(A12,DG!A:D,4,0),0)</f>
        <v>0</v>
      </c>
      <c r="E12" s="1599">
        <f>SUMIF(TongHopKL!B:B,'NT-VT'!A12,ThiCong)</f>
        <v>0</v>
      </c>
      <c r="F12" s="1596" t="str">
        <f>IFERROR(VLOOKUP(A12,Solieu!G:M,2,0),"")</f>
        <v/>
      </c>
      <c r="G12" s="1596" t="str">
        <f>IFERROR(VLOOKUP(A12,Solieu!G:M,3,0),"")</f>
        <v/>
      </c>
      <c r="H12" s="1596"/>
      <c r="I12" s="1600"/>
      <c r="J12" s="1601" t="str">
        <f>IFERROR(VLOOKUP(A12,Solieu!G:M,4,0),"")</f>
        <v/>
      </c>
      <c r="K12" s="1602" t="str">
        <f>IFERROR(VLOOKUP(A12,Solieu!G:M,5,0),"")</f>
        <v/>
      </c>
      <c r="L12" s="1774" t="str">
        <f>IFERROR(VLOOKUP(A12,Solieu!G:M,6,0),"")</f>
        <v/>
      </c>
      <c r="M12" s="1600" t="str">
        <f>IFERROR(VLOOKUP(A12,Solieu!G:M,7,0),"")</f>
        <v/>
      </c>
      <c r="N12" s="1194" t="s">
        <v>4186</v>
      </c>
      <c r="O12" s="1352" t="str">
        <f t="shared" si="0"/>
        <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6" t="e">
        <f>VLOOKUP(ROW()-ROW($A$5),TongHopKL!A:B,2,0)</f>
        <v>#N/A</v>
      </c>
      <c r="B13" s="1596">
        <f>SUM($O$6:O13)</f>
        <v>0</v>
      </c>
      <c r="C13" s="1597" t="e">
        <f>(VLOOKUP(A13,TongHopKL!B:F,5,0))</f>
        <v>#N/A</v>
      </c>
      <c r="D13" s="1598">
        <f>IFERROR(VLOOKUP(A13,DG!A:D,4,0),0)</f>
        <v>0</v>
      </c>
      <c r="E13" s="1599">
        <f>SUMIF(TongHopKL!B:B,'NT-VT'!A13,ThiCong)</f>
        <v>0</v>
      </c>
      <c r="F13" s="1596" t="str">
        <f>IFERROR(VLOOKUP(A13,Solieu!G:M,2,0),"")</f>
        <v/>
      </c>
      <c r="G13" s="1596" t="str">
        <f>IFERROR(VLOOKUP(A13,Solieu!G:M,3,0),"")</f>
        <v/>
      </c>
      <c r="H13" s="1596"/>
      <c r="I13" s="1600"/>
      <c r="J13" s="1601" t="str">
        <f>IFERROR(VLOOKUP(A13,Solieu!G:M,4,0),"")</f>
        <v/>
      </c>
      <c r="K13" s="1602" t="str">
        <f>IFERROR(VLOOKUP(A13,Solieu!G:M,5,0),"")</f>
        <v/>
      </c>
      <c r="L13" s="1774" t="str">
        <f>IFERROR(VLOOKUP(A13,Solieu!G:M,6,0),"")</f>
        <v/>
      </c>
      <c r="M13" s="1600" t="str">
        <f>IFERROR(VLOOKUP(A13,Solieu!G:M,7,0),"")</f>
        <v/>
      </c>
      <c r="N13" s="1194" t="s">
        <v>4186</v>
      </c>
      <c r="O13" s="1352" t="str">
        <f t="shared" si="0"/>
        <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6" t="e">
        <f>VLOOKUP(ROW()-ROW($A$5),TongHopKL!A:B,2,0)</f>
        <v>#N/A</v>
      </c>
      <c r="B14" s="1596">
        <f>SUM($O$6:O14)</f>
        <v>0</v>
      </c>
      <c r="C14" s="1597" t="e">
        <f>(VLOOKUP(A14,TongHopKL!B:F,5,0))</f>
        <v>#N/A</v>
      </c>
      <c r="D14" s="1598">
        <f>IFERROR(VLOOKUP(A14,DG!A:D,4,0),0)</f>
        <v>0</v>
      </c>
      <c r="E14" s="1599">
        <f>SUMIF(TongHopKL!B:B,'NT-VT'!A14,ThiCong)</f>
        <v>0</v>
      </c>
      <c r="F14" s="1596" t="str">
        <f>IFERROR(VLOOKUP(A14,Solieu!G:M,2,0),"")</f>
        <v/>
      </c>
      <c r="G14" s="1596" t="str">
        <f>IFERROR(VLOOKUP(A14,Solieu!G:M,3,0),"")</f>
        <v/>
      </c>
      <c r="H14" s="1596"/>
      <c r="I14" s="1600"/>
      <c r="J14" s="1601" t="str">
        <f>IFERROR(VLOOKUP(A14,Solieu!G:M,4,0),"")</f>
        <v/>
      </c>
      <c r="K14" s="1602" t="str">
        <f>IFERROR(VLOOKUP(A14,Solieu!G:M,5,0),"")</f>
        <v/>
      </c>
      <c r="L14" s="1774" t="str">
        <f>IFERROR(VLOOKUP(A14,Solieu!G:M,6,0),"")</f>
        <v/>
      </c>
      <c r="M14" s="1600" t="str">
        <f>IFERROR(VLOOKUP(A14,Solieu!G:M,7,0),"")</f>
        <v/>
      </c>
      <c r="N14" s="1194" t="s">
        <v>4186</v>
      </c>
      <c r="O14" s="1352" t="str">
        <f t="shared" si="0"/>
        <v/>
      </c>
      <c r="P14" s="52" t="e">
        <f>VLOOKUP(A14,TongHopKL!D:M,8,0)</f>
        <v>#N/A</v>
      </c>
      <c r="Q14" s="1314"/>
      <c r="R14" s="1353"/>
      <c r="S14" s="826"/>
      <c r="T14" s="827"/>
      <c r="U14" s="824"/>
      <c r="V14" s="824"/>
      <c r="W14" s="824"/>
      <c r="X14" s="824"/>
      <c r="Y14" s="824"/>
      <c r="Z14" s="824"/>
      <c r="AA14" s="824"/>
    </row>
    <row r="15" spans="1:27" s="825" customFormat="1" ht="34.950000000000003" customHeight="1">
      <c r="A15" s="1956" t="e">
        <f>VLOOKUP(ROW()-ROW($A$5),TongHopKL!A:B,2,0)</f>
        <v>#N/A</v>
      </c>
      <c r="B15" s="1596">
        <f>SUM($O$6:O15)</f>
        <v>0</v>
      </c>
      <c r="C15" s="1597" t="e">
        <f>(VLOOKUP(A15,TongHopKL!B:F,5,0))</f>
        <v>#N/A</v>
      </c>
      <c r="D15" s="1598">
        <f>IFERROR(VLOOKUP(A15,DG!A:D,4,0),0)</f>
        <v>0</v>
      </c>
      <c r="E15" s="1599">
        <f>SUMIF(TongHopKL!B:B,'NT-VT'!A15,ThiCong)</f>
        <v>0</v>
      </c>
      <c r="F15" s="1596" t="str">
        <f>IFERROR(VLOOKUP(A15,Solieu!G:M,2,0),"")</f>
        <v/>
      </c>
      <c r="G15" s="1596" t="str">
        <f>IFERROR(VLOOKUP(A15,Solieu!G:M,3,0),"")</f>
        <v/>
      </c>
      <c r="H15" s="1596"/>
      <c r="I15" s="1600"/>
      <c r="J15" s="1601" t="str">
        <f>IFERROR(VLOOKUP(A15,Solieu!G:M,4,0),"")</f>
        <v/>
      </c>
      <c r="K15" s="1602" t="str">
        <f>IFERROR(VLOOKUP(A15,Solieu!G:M,5,0),"")</f>
        <v/>
      </c>
      <c r="L15" s="1774" t="str">
        <f>IFERROR(VLOOKUP(A15,Solieu!G:M,6,0),"")</f>
        <v/>
      </c>
      <c r="M15" s="1600" t="str">
        <f>IFERROR(VLOOKUP(A15,Solieu!G:M,7,0),"")</f>
        <v/>
      </c>
      <c r="N15" s="1194" t="s">
        <v>4186</v>
      </c>
      <c r="O15" s="1352" t="str">
        <f t="shared" si="0"/>
        <v/>
      </c>
      <c r="P15" s="52" t="e">
        <f>VLOOKUP(A15,TongHopKL!D:M,8,0)</f>
        <v>#N/A</v>
      </c>
      <c r="Q15" s="1314"/>
      <c r="R15" s="1315"/>
      <c r="S15" s="1316"/>
      <c r="T15" s="824"/>
      <c r="U15" s="824"/>
      <c r="V15" s="824"/>
      <c r="W15" s="824"/>
      <c r="X15" s="824"/>
      <c r="Y15" s="824"/>
      <c r="Z15" s="824"/>
      <c r="AA15" s="824"/>
    </row>
    <row r="16" spans="1:27" s="825" customFormat="1" ht="34.950000000000003" customHeight="1">
      <c r="A16" s="1956" t="e">
        <f>VLOOKUP(ROW()-ROW($A$5),TongHopKL!A:B,2,0)</f>
        <v>#N/A</v>
      </c>
      <c r="B16" s="1596">
        <f>SUM($O$6:O16)</f>
        <v>0</v>
      </c>
      <c r="C16" s="1597" t="e">
        <f>(VLOOKUP(A16,TongHopKL!B:F,5,0))</f>
        <v>#N/A</v>
      </c>
      <c r="D16" s="1598">
        <f>IFERROR(VLOOKUP(A16,DG!A:D,4,0),0)</f>
        <v>0</v>
      </c>
      <c r="E16" s="1599">
        <f>SUMIF(TongHopKL!B:B,'NT-VT'!A16,ThiCong)</f>
        <v>0</v>
      </c>
      <c r="F16" s="1596" t="str">
        <f>IFERROR(VLOOKUP(A16,Solieu!G:M,2,0),"")</f>
        <v/>
      </c>
      <c r="G16" s="1596" t="str">
        <f>IFERROR(VLOOKUP(A16,Solieu!G:M,3,0),"")</f>
        <v/>
      </c>
      <c r="H16" s="1596"/>
      <c r="I16" s="1600"/>
      <c r="J16" s="1601" t="str">
        <f>IFERROR(VLOOKUP(A16,Solieu!G:M,4,0),"")</f>
        <v/>
      </c>
      <c r="K16" s="1602" t="str">
        <f>IFERROR(VLOOKUP(A16,Solieu!G:M,5,0),"")</f>
        <v/>
      </c>
      <c r="L16" s="1774" t="str">
        <f>IFERROR(VLOOKUP(A16,Solieu!G:M,6,0),"")</f>
        <v/>
      </c>
      <c r="M16" s="1600" t="str">
        <f>IFERROR(VLOOKUP(A16,Solieu!G:M,7,0),"")</f>
        <v/>
      </c>
      <c r="N16" s="1194" t="s">
        <v>4186</v>
      </c>
      <c r="O16" s="1352" t="str">
        <f t="shared" si="0"/>
        <v/>
      </c>
      <c r="P16" s="52" t="e">
        <f>VLOOKUP(A16,TongHopKL!D:M,8,0)</f>
        <v>#N/A</v>
      </c>
      <c r="Q16" s="1314"/>
      <c r="R16" s="1353"/>
      <c r="S16" s="824"/>
      <c r="T16" s="824"/>
      <c r="U16" s="824"/>
      <c r="V16" s="824"/>
      <c r="W16" s="824"/>
      <c r="X16" s="824"/>
      <c r="Y16" s="824"/>
      <c r="Z16" s="824"/>
      <c r="AA16" s="824"/>
    </row>
    <row r="17" spans="1:27" s="825" customFormat="1" ht="34.950000000000003" customHeight="1">
      <c r="A17" s="1956" t="e">
        <f>VLOOKUP(ROW()-ROW($A$5),TongHopKL!A:B,2,0)</f>
        <v>#N/A</v>
      </c>
      <c r="B17" s="1596">
        <f>SUM($O$6:O17)</f>
        <v>0</v>
      </c>
      <c r="C17" s="1597" t="e">
        <f>(VLOOKUP(A17,TongHopKL!B:F,5,0))</f>
        <v>#N/A</v>
      </c>
      <c r="D17" s="1598">
        <f>IFERROR(VLOOKUP(A17,DG!A:D,4,0),0)</f>
        <v>0</v>
      </c>
      <c r="E17" s="1599">
        <f>SUMIF(TongHopKL!B:B,'NT-VT'!A17,ThiCong)</f>
        <v>0</v>
      </c>
      <c r="F17" s="1596" t="str">
        <f>IFERROR(VLOOKUP(A17,Solieu!G:M,2,0),"")</f>
        <v/>
      </c>
      <c r="G17" s="1596" t="str">
        <f>IFERROR(VLOOKUP(A17,Solieu!G:M,3,0),"")</f>
        <v/>
      </c>
      <c r="H17" s="1596"/>
      <c r="I17" s="1600"/>
      <c r="J17" s="1601" t="str">
        <f>IFERROR(VLOOKUP(A17,Solieu!G:M,4,0),"")</f>
        <v/>
      </c>
      <c r="K17" s="1602" t="str">
        <f>IFERROR(VLOOKUP(A17,Solieu!G:M,5,0),"")</f>
        <v/>
      </c>
      <c r="L17" s="1774" t="str">
        <f>IFERROR(VLOOKUP(A17,Solieu!G:M,6,0),"")</f>
        <v/>
      </c>
      <c r="M17" s="1600" t="str">
        <f>IFERROR(VLOOKUP(A17,Solieu!G:M,7,0),"")</f>
        <v/>
      </c>
      <c r="N17" s="1194" t="s">
        <v>4186</v>
      </c>
      <c r="O17" s="1352" t="str">
        <f t="shared" si="0"/>
        <v/>
      </c>
      <c r="P17" s="52" t="e">
        <f>VLOOKUP(A17,TongHopKL!D:M,8,0)</f>
        <v>#N/A</v>
      </c>
      <c r="Q17" s="1311"/>
      <c r="R17" s="1353"/>
      <c r="S17" s="824"/>
      <c r="T17" s="824"/>
      <c r="U17" s="824"/>
      <c r="V17" s="824"/>
      <c r="W17" s="824"/>
      <c r="X17" s="824"/>
      <c r="Y17" s="824"/>
      <c r="Z17" s="824"/>
      <c r="AA17" s="824"/>
    </row>
    <row r="18" spans="1:27" s="825" customFormat="1" ht="34.950000000000003" customHeight="1">
      <c r="A18" s="1956" t="e">
        <f>VLOOKUP(ROW()-ROW($A$5),TongHopKL!A:B,2,0)</f>
        <v>#N/A</v>
      </c>
      <c r="B18" s="1596">
        <f>SUM($O$6:O18)</f>
        <v>0</v>
      </c>
      <c r="C18" s="1597" t="e">
        <f>(VLOOKUP(A18,TongHopKL!B:F,5,0))</f>
        <v>#N/A</v>
      </c>
      <c r="D18" s="1598">
        <f>IFERROR(VLOOKUP(A18,DG!A:D,4,0),0)</f>
        <v>0</v>
      </c>
      <c r="E18" s="1599">
        <f>SUMIF(TongHopKL!B:B,'NT-VT'!A18,ThiCong)</f>
        <v>0</v>
      </c>
      <c r="F18" s="1596" t="str">
        <f>IFERROR(VLOOKUP(A18,Solieu!G:M,2,0),"")</f>
        <v/>
      </c>
      <c r="G18" s="1596" t="str">
        <f>IFERROR(VLOOKUP(A18,Solieu!G:M,3,0),"")</f>
        <v/>
      </c>
      <c r="H18" s="1596"/>
      <c r="I18" s="1600"/>
      <c r="J18" s="1601" t="str">
        <f>IFERROR(VLOOKUP(A18,Solieu!G:M,4,0),"")</f>
        <v/>
      </c>
      <c r="K18" s="1602" t="str">
        <f>IFERROR(VLOOKUP(A18,Solieu!G:M,5,0),"")</f>
        <v/>
      </c>
      <c r="L18" s="1774" t="str">
        <f>IFERROR(VLOOKUP(A18,Solieu!G:M,6,0),"")</f>
        <v/>
      </c>
      <c r="M18" s="1600" t="str">
        <f>IFERROR(VLOOKUP(A18,Solieu!G:M,7,0),"")</f>
        <v/>
      </c>
      <c r="N18" s="1194" t="s">
        <v>4186</v>
      </c>
      <c r="O18" s="1352" t="str">
        <f t="shared" si="0"/>
        <v/>
      </c>
      <c r="P18" s="52" t="e">
        <f>VLOOKUP(A18,TongHopKL!D:M,8,0)</f>
        <v>#N/A</v>
      </c>
      <c r="Q18" s="1311"/>
      <c r="R18" s="1353"/>
      <c r="S18" s="824"/>
      <c r="T18" s="824"/>
      <c r="U18" s="824"/>
      <c r="V18" s="824"/>
      <c r="W18" s="824"/>
      <c r="X18" s="824"/>
      <c r="Y18" s="824"/>
      <c r="Z18" s="824"/>
      <c r="AA18" s="824"/>
    </row>
    <row r="19" spans="1:27" s="825" customFormat="1" ht="34.950000000000003" customHeight="1">
      <c r="A19" s="1956" t="e">
        <f>VLOOKUP(ROW()-ROW($A$5),TongHopKL!A:B,2,0)</f>
        <v>#N/A</v>
      </c>
      <c r="B19" s="1596">
        <f>SUM($O$6:O19)</f>
        <v>0</v>
      </c>
      <c r="C19" s="1597" t="e">
        <f>(VLOOKUP(A19,TongHopKL!B:F,5,0))</f>
        <v>#N/A</v>
      </c>
      <c r="D19" s="1598">
        <f>IFERROR(VLOOKUP(A19,DG!A:D,4,0),0)</f>
        <v>0</v>
      </c>
      <c r="E19" s="1599">
        <f>SUMIF(TongHopKL!B:B,'NT-VT'!A19,ThiCong)</f>
        <v>0</v>
      </c>
      <c r="F19" s="1596" t="str">
        <f>IFERROR(VLOOKUP(A19,Solieu!G:M,2,0),"")</f>
        <v/>
      </c>
      <c r="G19" s="1596" t="str">
        <f>IFERROR(VLOOKUP(A19,Solieu!G:M,3,0),"")</f>
        <v/>
      </c>
      <c r="H19" s="1596"/>
      <c r="I19" s="1600"/>
      <c r="J19" s="1601" t="str">
        <f>IFERROR(VLOOKUP(A19,Solieu!G:M,4,0),"")</f>
        <v/>
      </c>
      <c r="K19" s="1602" t="str">
        <f>IFERROR(VLOOKUP(A19,Solieu!G:M,5,0),"")</f>
        <v/>
      </c>
      <c r="L19" s="1774" t="str">
        <f>IFERROR(VLOOKUP(A19,Solieu!G:M,6,0),"")</f>
        <v/>
      </c>
      <c r="M19" s="1600" t="str">
        <f>IFERROR(VLOOKUP(A19,Solieu!G:M,7,0),"")</f>
        <v/>
      </c>
      <c r="N19" s="1194" t="s">
        <v>4186</v>
      </c>
      <c r="O19" s="1352" t="str">
        <f t="shared" si="0"/>
        <v/>
      </c>
      <c r="P19" s="52" t="e">
        <f>VLOOKUP(A19,TongHopKL!D:M,8,0)</f>
        <v>#N/A</v>
      </c>
      <c r="Q19" s="1311"/>
      <c r="R19" s="1353"/>
      <c r="S19" s="826"/>
      <c r="T19" s="826"/>
      <c r="U19" s="824"/>
      <c r="V19" s="824"/>
      <c r="W19" s="824"/>
      <c r="X19" s="824"/>
      <c r="Y19" s="824"/>
      <c r="Z19" s="824"/>
      <c r="AA19" s="824"/>
    </row>
    <row r="20" spans="1:27" s="825" customFormat="1" ht="34.950000000000003" customHeight="1">
      <c r="A20" s="1956" t="e">
        <f>VLOOKUP(ROW()-ROW($A$5),TongHopKL!A:B,2,0)</f>
        <v>#N/A</v>
      </c>
      <c r="B20" s="1596">
        <f>SUM($O$6:O20)</f>
        <v>0</v>
      </c>
      <c r="C20" s="1597" t="e">
        <f>(VLOOKUP(A20,TongHopKL!B:F,5,0))</f>
        <v>#N/A</v>
      </c>
      <c r="D20" s="1598">
        <f>IFERROR(VLOOKUP(A20,DG!A:D,4,0),0)</f>
        <v>0</v>
      </c>
      <c r="E20" s="1599">
        <f>SUMIF(TongHopKL!B:B,'NT-VT'!A20,ThiCong)</f>
        <v>0</v>
      </c>
      <c r="F20" s="1596" t="str">
        <f>IFERROR(VLOOKUP(A20,Solieu!G:M,2,0),"")</f>
        <v/>
      </c>
      <c r="G20" s="1596" t="str">
        <f>IFERROR(VLOOKUP(A20,Solieu!G:M,3,0),"")</f>
        <v/>
      </c>
      <c r="H20" s="1596"/>
      <c r="I20" s="1600"/>
      <c r="J20" s="1601" t="str">
        <f>IFERROR(VLOOKUP(A20,Solieu!G:M,4,0),"")</f>
        <v/>
      </c>
      <c r="K20" s="1602" t="str">
        <f>IFERROR(VLOOKUP(A20,Solieu!G:M,5,0),"")</f>
        <v/>
      </c>
      <c r="L20" s="1774" t="str">
        <f>IFERROR(VLOOKUP(A20,Solieu!G:M,6,0),"")</f>
        <v/>
      </c>
      <c r="M20" s="1600" t="str">
        <f>IFERROR(VLOOKUP(A20,Solieu!G:M,7,0),"")</f>
        <v/>
      </c>
      <c r="N20" s="1194" t="s">
        <v>4186</v>
      </c>
      <c r="O20" s="1352" t="str">
        <f t="shared" si="0"/>
        <v/>
      </c>
      <c r="P20" s="1190"/>
      <c r="Q20" s="1311"/>
      <c r="R20" s="1353"/>
      <c r="S20" s="826"/>
      <c r="T20" s="827"/>
      <c r="U20" s="824"/>
      <c r="V20" s="824"/>
      <c r="W20" s="824"/>
      <c r="X20" s="824"/>
      <c r="Y20" s="824"/>
      <c r="Z20" s="824"/>
      <c r="AA20" s="824"/>
    </row>
    <row r="21" spans="1:27" s="825" customFormat="1" ht="34.950000000000003" customHeight="1">
      <c r="A21" s="1956" t="e">
        <f>VLOOKUP(ROW()-ROW($A$5),TongHopKL!A:B,2,0)</f>
        <v>#N/A</v>
      </c>
      <c r="B21" s="1596">
        <f>SUM($O$6:O21)</f>
        <v>0</v>
      </c>
      <c r="C21" s="1597" t="e">
        <f>(VLOOKUP(A21,TongHopKL!B:F,5,0))</f>
        <v>#N/A</v>
      </c>
      <c r="D21" s="1598">
        <f>IFERROR(VLOOKUP(A21,DG!A:D,4,0),0)</f>
        <v>0</v>
      </c>
      <c r="E21" s="1599">
        <f>SUMIF(TongHopKL!B:B,'NT-VT'!A21,ThiCong)</f>
        <v>0</v>
      </c>
      <c r="F21" s="1596" t="str">
        <f>IFERROR(VLOOKUP(A21,Solieu!G:M,2,0),"")</f>
        <v/>
      </c>
      <c r="G21" s="1596" t="str">
        <f>IFERROR(VLOOKUP(A21,Solieu!G:M,3,0),"")</f>
        <v/>
      </c>
      <c r="H21" s="1596"/>
      <c r="I21" s="1600"/>
      <c r="J21" s="1601" t="str">
        <f>IFERROR(VLOOKUP(A21,Solieu!G:M,4,0),"")</f>
        <v/>
      </c>
      <c r="K21" s="1602" t="str">
        <f>IFERROR(VLOOKUP(A21,Solieu!G:M,5,0),"")</f>
        <v/>
      </c>
      <c r="L21" s="1774" t="str">
        <f>IFERROR(VLOOKUP(A21,Solieu!G:M,6,0),"")</f>
        <v/>
      </c>
      <c r="M21" s="1600" t="str">
        <f>IFERROR(VLOOKUP(A21,Solieu!G:M,7,0),"")</f>
        <v/>
      </c>
      <c r="N21" s="1194" t="s">
        <v>4186</v>
      </c>
      <c r="O21" s="1352" t="str">
        <f t="shared" si="0"/>
        <v/>
      </c>
      <c r="P21" s="1190"/>
      <c r="Q21" s="1311"/>
      <c r="R21" s="1353"/>
      <c r="S21" s="824"/>
      <c r="T21" s="824"/>
      <c r="U21" s="824"/>
      <c r="V21" s="824"/>
      <c r="W21" s="824"/>
      <c r="X21" s="824"/>
      <c r="Y21" s="824"/>
      <c r="Z21" s="824"/>
      <c r="AA21" s="824"/>
    </row>
    <row r="22" spans="1:27" s="825" customFormat="1" ht="34.950000000000003" customHeight="1">
      <c r="A22" s="1956" t="e">
        <f>VLOOKUP(ROW()-ROW($A$5),TongHopKL!A:B,2,0)</f>
        <v>#N/A</v>
      </c>
      <c r="B22" s="1596">
        <f>SUM($O$6:O22)</f>
        <v>0</v>
      </c>
      <c r="C22" s="1597" t="e">
        <f>(VLOOKUP(A22,TongHopKL!B:F,5,0))</f>
        <v>#N/A</v>
      </c>
      <c r="D22" s="1598">
        <f>IFERROR(VLOOKUP(A22,DG!A:D,4,0),0)</f>
        <v>0</v>
      </c>
      <c r="E22" s="1599">
        <f>SUMIF(TongHopKL!B:B,'NT-VT'!A22,ThiCong)</f>
        <v>0</v>
      </c>
      <c r="F22" s="1596" t="str">
        <f>IFERROR(VLOOKUP(A22,Solieu!G:M,2,0),"")</f>
        <v/>
      </c>
      <c r="G22" s="1596" t="str">
        <f>IFERROR(VLOOKUP(A22,Solieu!G:M,3,0),"")</f>
        <v/>
      </c>
      <c r="H22" s="1596"/>
      <c r="I22" s="1600"/>
      <c r="J22" s="1601" t="str">
        <f>IFERROR(VLOOKUP(A22,Solieu!G:M,4,0),"")</f>
        <v/>
      </c>
      <c r="K22" s="1602" t="str">
        <f>IFERROR(VLOOKUP(A22,Solieu!G:M,5,0),"")</f>
        <v/>
      </c>
      <c r="L22" s="1774" t="str">
        <f>IFERROR(VLOOKUP(A22,Solieu!G:M,6,0),"")</f>
        <v/>
      </c>
      <c r="M22" s="1600" t="str">
        <f>IFERROR(VLOOKUP(A22,Solieu!G:M,7,0),"")</f>
        <v/>
      </c>
      <c r="N22" s="1194" t="s">
        <v>4186</v>
      </c>
      <c r="O22" s="1352" t="str">
        <f t="shared" si="0"/>
        <v/>
      </c>
      <c r="P22" s="1190"/>
      <c r="Q22" s="1311"/>
      <c r="R22" s="1353"/>
      <c r="S22" s="824"/>
      <c r="T22" s="824"/>
      <c r="U22" s="824"/>
      <c r="V22" s="824"/>
      <c r="W22" s="824"/>
      <c r="X22" s="824"/>
      <c r="Y22" s="824"/>
      <c r="Z22" s="824"/>
      <c r="AA22" s="824"/>
    </row>
    <row r="23" spans="1:27" s="825" customFormat="1" ht="34.950000000000003" customHeight="1">
      <c r="A23" s="1956" t="e">
        <f>VLOOKUP(ROW()-ROW($A$5),TongHopKL!A:B,2,0)</f>
        <v>#N/A</v>
      </c>
      <c r="B23" s="1596">
        <f>SUM($O$6:O23)</f>
        <v>0</v>
      </c>
      <c r="C23" s="1597" t="e">
        <f>(VLOOKUP(A23,TongHopKL!B:F,5,0))</f>
        <v>#N/A</v>
      </c>
      <c r="D23" s="1598">
        <f>IFERROR(VLOOKUP(A23,DG!A:D,4,0),0)</f>
        <v>0</v>
      </c>
      <c r="E23" s="1599">
        <f>SUMIF(TongHopKL!B:B,'NT-VT'!A23,ThiCong)</f>
        <v>0</v>
      </c>
      <c r="F23" s="1596" t="str">
        <f>IFERROR(VLOOKUP(A23,Solieu!G:M,2,0),"")</f>
        <v/>
      </c>
      <c r="G23" s="1596" t="str">
        <f>IFERROR(VLOOKUP(A23,Solieu!G:M,3,0),"")</f>
        <v/>
      </c>
      <c r="H23" s="1596"/>
      <c r="I23" s="1600"/>
      <c r="J23" s="1601" t="str">
        <f>IFERROR(VLOOKUP(A23,Solieu!G:M,4,0),"")</f>
        <v/>
      </c>
      <c r="K23" s="1602" t="str">
        <f>IFERROR(VLOOKUP(A23,Solieu!G:M,5,0),"")</f>
        <v/>
      </c>
      <c r="L23" s="1774" t="str">
        <f>IFERROR(VLOOKUP(A23,Solieu!G:M,6,0),"")</f>
        <v/>
      </c>
      <c r="M23" s="1600" t="str">
        <f>IFERROR(VLOOKUP(A23,Solieu!G:M,7,0),"")</f>
        <v/>
      </c>
      <c r="N23" s="1194" t="s">
        <v>4186</v>
      </c>
      <c r="O23" s="1352" t="str">
        <f t="shared" si="0"/>
        <v/>
      </c>
      <c r="P23" s="1190"/>
      <c r="Q23" s="1311"/>
      <c r="R23" s="1353"/>
      <c r="S23" s="824"/>
      <c r="T23" s="824"/>
      <c r="U23" s="824"/>
      <c r="V23" s="824"/>
      <c r="W23" s="824"/>
      <c r="X23" s="824"/>
      <c r="Y23" s="824"/>
      <c r="Z23" s="824"/>
      <c r="AA23" s="824"/>
    </row>
    <row r="24" spans="1:27" s="825" customFormat="1" ht="34.950000000000003" customHeight="1">
      <c r="A24" s="1956" t="e">
        <f>VLOOKUP(ROW()-ROW($A$5),TongHopKL!A:B,2,0)</f>
        <v>#N/A</v>
      </c>
      <c r="B24" s="1596">
        <f>SUM($O$6:O24)</f>
        <v>0</v>
      </c>
      <c r="C24" s="1597" t="e">
        <f>(VLOOKUP(A24,TongHopKL!B:F,5,0))</f>
        <v>#N/A</v>
      </c>
      <c r="D24" s="1598">
        <f>IFERROR(VLOOKUP(A24,DG!A:D,4,0),0)</f>
        <v>0</v>
      </c>
      <c r="E24" s="1599">
        <f>SUMIF(TongHopKL!B:B,'NT-VT'!A24,ThiCong)</f>
        <v>0</v>
      </c>
      <c r="F24" s="1596" t="str">
        <f>IFERROR(VLOOKUP(A24,Solieu!G:M,2,0),"")</f>
        <v/>
      </c>
      <c r="G24" s="1596" t="str">
        <f>IFERROR(VLOOKUP(A24,Solieu!G:M,3,0),"")</f>
        <v/>
      </c>
      <c r="H24" s="1596"/>
      <c r="I24" s="1600"/>
      <c r="J24" s="1601" t="str">
        <f>IFERROR(VLOOKUP(A24,Solieu!G:M,4,0),"")</f>
        <v/>
      </c>
      <c r="K24" s="1602" t="str">
        <f>IFERROR(VLOOKUP(A24,Solieu!G:M,5,0),"")</f>
        <v/>
      </c>
      <c r="L24" s="1774" t="str">
        <f>IFERROR(VLOOKUP(A24,Solieu!G:M,6,0),"")</f>
        <v/>
      </c>
      <c r="M24" s="1600" t="str">
        <f>IFERROR(VLOOKUP(A24,Solieu!G:M,7,0),"")</f>
        <v/>
      </c>
      <c r="N24" s="1194" t="s">
        <v>4186</v>
      </c>
      <c r="O24" s="1352" t="str">
        <f t="shared" si="0"/>
        <v/>
      </c>
      <c r="P24" s="1190"/>
      <c r="Q24" s="1311"/>
      <c r="R24" s="1353"/>
      <c r="S24" s="824"/>
      <c r="T24" s="824"/>
      <c r="U24" s="824"/>
      <c r="V24" s="824"/>
      <c r="W24" s="824"/>
      <c r="X24" s="824"/>
      <c r="Y24" s="824"/>
      <c r="Z24" s="824"/>
      <c r="AA24" s="824"/>
    </row>
    <row r="25" spans="1:27" s="825" customFormat="1" ht="34.950000000000003" customHeight="1">
      <c r="A25" s="1956" t="e">
        <f>VLOOKUP(ROW()-ROW($A$5),TongHopKL!A:B,2,0)</f>
        <v>#N/A</v>
      </c>
      <c r="B25" s="1596">
        <f>SUM($O$6:O25)</f>
        <v>0</v>
      </c>
      <c r="C25" s="1597" t="e">
        <f>(VLOOKUP(A25,TongHopKL!B:F,5,0))</f>
        <v>#N/A</v>
      </c>
      <c r="D25" s="1598">
        <f>IFERROR(VLOOKUP(A25,DG!A:D,4,0),0)</f>
        <v>0</v>
      </c>
      <c r="E25" s="1599">
        <f>SUMIF(TongHopKL!B:B,'NT-VT'!A25,ThiCong)</f>
        <v>0</v>
      </c>
      <c r="F25" s="1596" t="str">
        <f>IFERROR(VLOOKUP(A25,Solieu!G:M,2,0),"")</f>
        <v/>
      </c>
      <c r="G25" s="1596" t="str">
        <f>IFERROR(VLOOKUP(A25,Solieu!G:M,3,0),"")</f>
        <v/>
      </c>
      <c r="H25" s="1596"/>
      <c r="I25" s="1600"/>
      <c r="J25" s="1601" t="str">
        <f>IFERROR(VLOOKUP(A25,Solieu!G:M,4,0),"")</f>
        <v/>
      </c>
      <c r="K25" s="1602" t="str">
        <f>IFERROR(VLOOKUP(A25,Solieu!G:M,5,0),"")</f>
        <v/>
      </c>
      <c r="L25" s="1774" t="str">
        <f>IFERROR(VLOOKUP(A25,Solieu!G:M,6,0),"")</f>
        <v/>
      </c>
      <c r="M25" s="1600" t="str">
        <f>IFERROR(VLOOKUP(A25,Solieu!G:M,7,0),"")</f>
        <v/>
      </c>
      <c r="N25" s="1194" t="s">
        <v>4186</v>
      </c>
      <c r="O25" s="1352" t="str">
        <f t="shared" si="0"/>
        <v/>
      </c>
      <c r="P25" s="1190"/>
      <c r="Q25" s="1311"/>
      <c r="R25" s="1353"/>
      <c r="S25" s="824"/>
      <c r="T25" s="824"/>
      <c r="U25" s="824"/>
      <c r="V25" s="824"/>
      <c r="W25" s="824"/>
      <c r="X25" s="824"/>
      <c r="Y25" s="824"/>
      <c r="Z25" s="824"/>
      <c r="AA25" s="824"/>
    </row>
    <row r="26" spans="1:27" s="825" customFormat="1" ht="34.950000000000003" customHeight="1">
      <c r="A26" s="1956" t="e">
        <f>VLOOKUP(ROW()-ROW($A$5),TongHopKL!A:B,2,0)</f>
        <v>#N/A</v>
      </c>
      <c r="B26" s="1596">
        <f>SUM($O$6:O26)</f>
        <v>0</v>
      </c>
      <c r="C26" s="1597" t="e">
        <f>(VLOOKUP(A26,TongHopKL!B:F,5,0))</f>
        <v>#N/A</v>
      </c>
      <c r="D26" s="1598">
        <f>IFERROR(VLOOKUP(A26,DG!A:D,4,0),0)</f>
        <v>0</v>
      </c>
      <c r="E26" s="1599">
        <f>SUMIF(TongHopKL!B:B,'NT-VT'!A26,ThiCong)</f>
        <v>0</v>
      </c>
      <c r="F26" s="1596" t="str">
        <f>IFERROR(VLOOKUP(A26,Solieu!G:M,2,0),"")</f>
        <v/>
      </c>
      <c r="G26" s="1596" t="str">
        <f>IFERROR(VLOOKUP(A26,Solieu!G:M,3,0),"")</f>
        <v/>
      </c>
      <c r="H26" s="1596"/>
      <c r="I26" s="1600"/>
      <c r="J26" s="1601" t="str">
        <f>IFERROR(VLOOKUP(A26,Solieu!G:M,4,0),"")</f>
        <v/>
      </c>
      <c r="K26" s="1602" t="str">
        <f>IFERROR(VLOOKUP(A26,Solieu!G:M,5,0),"")</f>
        <v/>
      </c>
      <c r="L26" s="1774" t="str">
        <f>IFERROR(VLOOKUP(A26,Solieu!G:M,6,0),"")</f>
        <v/>
      </c>
      <c r="M26" s="1600" t="str">
        <f>IFERROR(VLOOKUP(A26,Solieu!G:M,7,0),"")</f>
        <v/>
      </c>
      <c r="N26" s="1194" t="s">
        <v>4186</v>
      </c>
      <c r="O26" s="1352" t="str">
        <f t="shared" si="0"/>
        <v/>
      </c>
      <c r="P26" s="1190"/>
      <c r="Q26" s="1311"/>
      <c r="R26" s="1353"/>
      <c r="S26" s="824"/>
      <c r="T26" s="824"/>
      <c r="U26" s="824"/>
      <c r="V26" s="824"/>
      <c r="W26" s="824"/>
      <c r="X26" s="824"/>
      <c r="Y26" s="824"/>
      <c r="Z26" s="824"/>
      <c r="AA26" s="824"/>
    </row>
    <row r="27" spans="1:27" s="825" customFormat="1" ht="34.950000000000003" customHeight="1">
      <c r="A27" s="1956" t="e">
        <f>VLOOKUP(ROW()-ROW($A$5),TongHopKL!A:B,2,0)</f>
        <v>#N/A</v>
      </c>
      <c r="B27" s="1596">
        <f>SUM($O$6:O27)</f>
        <v>0</v>
      </c>
      <c r="C27" s="1597" t="e">
        <f>(VLOOKUP(A27,TongHopKL!B:F,5,0))</f>
        <v>#N/A</v>
      </c>
      <c r="D27" s="1598">
        <f>IFERROR(VLOOKUP(A27,DG!A:D,4,0),0)</f>
        <v>0</v>
      </c>
      <c r="E27" s="1599">
        <f>SUMIF(TongHopKL!B:B,'NT-VT'!A27,ThiCong)</f>
        <v>0</v>
      </c>
      <c r="F27" s="1596" t="str">
        <f>IFERROR(VLOOKUP(A27,Solieu!G:M,2,0),"")</f>
        <v/>
      </c>
      <c r="G27" s="1596" t="str">
        <f>IFERROR(VLOOKUP(A27,Solieu!G:M,3,0),"")</f>
        <v/>
      </c>
      <c r="H27" s="1596"/>
      <c r="I27" s="1600"/>
      <c r="J27" s="1601" t="str">
        <f>IFERROR(VLOOKUP(A27,Solieu!G:M,4,0),"")</f>
        <v/>
      </c>
      <c r="K27" s="1602" t="str">
        <f>IFERROR(VLOOKUP(A27,Solieu!G:M,5,0),"")</f>
        <v/>
      </c>
      <c r="L27" s="1774" t="str">
        <f>IFERROR(VLOOKUP(A27,Solieu!G:M,6,0),"")</f>
        <v/>
      </c>
      <c r="M27" s="1600" t="str">
        <f>IFERROR(VLOOKUP(A27,Solieu!G:M,7,0),"")</f>
        <v/>
      </c>
      <c r="N27" s="1194" t="s">
        <v>4186</v>
      </c>
      <c r="O27" s="1352" t="str">
        <f t="shared" si="0"/>
        <v/>
      </c>
      <c r="P27" s="1190"/>
      <c r="Q27" s="1311"/>
      <c r="R27" s="1353"/>
      <c r="S27" s="824"/>
      <c r="T27" s="824"/>
      <c r="U27" s="824"/>
      <c r="V27" s="824"/>
      <c r="W27" s="824"/>
      <c r="X27" s="824"/>
      <c r="Y27" s="824"/>
      <c r="Z27" s="824"/>
      <c r="AA27" s="824"/>
    </row>
    <row r="28" spans="1:27" s="825" customFormat="1" ht="34.950000000000003" customHeight="1">
      <c r="A28" s="1956" t="e">
        <f>VLOOKUP(ROW()-ROW($A$5),TongHopKL!A:B,2,0)</f>
        <v>#N/A</v>
      </c>
      <c r="B28" s="1596">
        <f>SUM($O$6:O28)</f>
        <v>0</v>
      </c>
      <c r="C28" s="1597" t="e">
        <f>(VLOOKUP(A28,TongHopKL!B:F,5,0))</f>
        <v>#N/A</v>
      </c>
      <c r="D28" s="1598">
        <f>IFERROR(VLOOKUP(A28,DG!A:D,4,0),0)</f>
        <v>0</v>
      </c>
      <c r="E28" s="1599">
        <f>SUMIF(TongHopKL!B:B,'NT-VT'!A28,ThiCong)</f>
        <v>0</v>
      </c>
      <c r="F28" s="1596" t="str">
        <f>IFERROR(VLOOKUP(A28,Solieu!G:M,2,0),"")</f>
        <v/>
      </c>
      <c r="G28" s="1596" t="str">
        <f>IFERROR(VLOOKUP(A28,Solieu!G:M,3,0),"")</f>
        <v/>
      </c>
      <c r="H28" s="1596"/>
      <c r="I28" s="1600"/>
      <c r="J28" s="1601" t="str">
        <f>IFERROR(VLOOKUP(A28,Solieu!G:M,4,0),"")</f>
        <v/>
      </c>
      <c r="K28" s="1602" t="str">
        <f>IFERROR(VLOOKUP(A28,Solieu!G:M,5,0),"")</f>
        <v/>
      </c>
      <c r="L28" s="1774" t="str">
        <f>IFERROR(VLOOKUP(A28,Solieu!G:M,6,0),"")</f>
        <v/>
      </c>
      <c r="M28" s="1600" t="str">
        <f>IFERROR(VLOOKUP(A28,Solieu!G:M,7,0),"")</f>
        <v/>
      </c>
      <c r="N28" s="1194" t="s">
        <v>4186</v>
      </c>
      <c r="O28" s="1352" t="str">
        <f t="shared" si="0"/>
        <v/>
      </c>
      <c r="P28" s="1190"/>
      <c r="Q28" s="1311"/>
      <c r="R28" s="1353"/>
      <c r="S28" s="824"/>
      <c r="T28" s="824"/>
      <c r="U28" s="824"/>
      <c r="V28" s="824"/>
      <c r="W28" s="824"/>
      <c r="X28" s="824"/>
      <c r="Y28" s="824"/>
      <c r="Z28" s="824"/>
      <c r="AA28" s="824"/>
    </row>
    <row r="29" spans="1:27" s="825" customFormat="1" ht="34.950000000000003" customHeight="1">
      <c r="A29" s="1956" t="e">
        <f>VLOOKUP(ROW()-ROW($A$5),TongHopKL!A:B,2,0)</f>
        <v>#N/A</v>
      </c>
      <c r="B29" s="1596">
        <f>SUM($O$6:O29)</f>
        <v>0</v>
      </c>
      <c r="C29" s="1597" t="e">
        <f>(VLOOKUP(A29,TongHopKL!B:F,5,0))</f>
        <v>#N/A</v>
      </c>
      <c r="D29" s="1598">
        <f>IFERROR(VLOOKUP(A29,DG!A:D,4,0),0)</f>
        <v>0</v>
      </c>
      <c r="E29" s="1599">
        <f>SUMIF(TongHopKL!B:B,'NT-VT'!A29,ThiCong)</f>
        <v>0</v>
      </c>
      <c r="F29" s="1596" t="str">
        <f>IFERROR(VLOOKUP(A29,Solieu!G:M,2,0),"")</f>
        <v/>
      </c>
      <c r="G29" s="1596" t="str">
        <f>IFERROR(VLOOKUP(A29,Solieu!G:M,3,0),"")</f>
        <v/>
      </c>
      <c r="H29" s="1596"/>
      <c r="I29" s="1600"/>
      <c r="J29" s="1601" t="str">
        <f>IFERROR(VLOOKUP(A29,Solieu!G:M,4,0),"")</f>
        <v/>
      </c>
      <c r="K29" s="1602" t="str">
        <f>IFERROR(VLOOKUP(A29,Solieu!G:M,5,0),"")</f>
        <v/>
      </c>
      <c r="L29" s="1774" t="str">
        <f>IFERROR(VLOOKUP(A29,Solieu!G:M,6,0),"")</f>
        <v/>
      </c>
      <c r="M29" s="1600" t="str">
        <f>IFERROR(VLOOKUP(A29,Solieu!G:M,7,0),"")</f>
        <v/>
      </c>
      <c r="N29" s="1194" t="s">
        <v>4186</v>
      </c>
      <c r="O29" s="1352" t="str">
        <f t="shared" si="0"/>
        <v/>
      </c>
      <c r="P29" s="1190"/>
      <c r="Q29" s="1311"/>
      <c r="R29" s="1353"/>
      <c r="S29" s="824"/>
      <c r="T29" s="824"/>
      <c r="U29" s="824"/>
      <c r="V29" s="824"/>
      <c r="W29" s="824"/>
      <c r="X29" s="824"/>
      <c r="Y29" s="824"/>
      <c r="Z29" s="824"/>
      <c r="AA29" s="824"/>
    </row>
    <row r="30" spans="1:27" s="825" customFormat="1" ht="34.950000000000003" customHeight="1">
      <c r="A30" s="1956" t="e">
        <f>VLOOKUP(ROW()-ROW($A$5),TongHopKL!A:B,2,0)</f>
        <v>#N/A</v>
      </c>
      <c r="B30" s="1596">
        <f>SUM($O$6:O30)</f>
        <v>0</v>
      </c>
      <c r="C30" s="1597" t="e">
        <f>(VLOOKUP(A30,TongHopKL!B:F,5,0))</f>
        <v>#N/A</v>
      </c>
      <c r="D30" s="1598">
        <f>IFERROR(VLOOKUP(A30,DG!A:D,4,0),0)</f>
        <v>0</v>
      </c>
      <c r="E30" s="1599">
        <f>SUMIF(TongHopKL!B:B,'NT-VT'!A30,ThiCong)</f>
        <v>0</v>
      </c>
      <c r="F30" s="1596" t="str">
        <f>IFERROR(VLOOKUP(A30,Solieu!G:M,2,0),"")</f>
        <v/>
      </c>
      <c r="G30" s="1596" t="str">
        <f>IFERROR(VLOOKUP(A30,Solieu!G:M,3,0),"")</f>
        <v/>
      </c>
      <c r="H30" s="1596"/>
      <c r="I30" s="1600"/>
      <c r="J30" s="1601" t="str">
        <f>IFERROR(VLOOKUP(A30,Solieu!G:M,4,0),"")</f>
        <v/>
      </c>
      <c r="K30" s="1602" t="str">
        <f>IFERROR(VLOOKUP(A30,Solieu!G:M,5,0),"")</f>
        <v/>
      </c>
      <c r="L30" s="1774" t="str">
        <f>IFERROR(VLOOKUP(A30,Solieu!G:M,6,0),"")</f>
        <v/>
      </c>
      <c r="M30" s="1600" t="str">
        <f>IFERROR(VLOOKUP(A30,Solieu!G:M,7,0),"")</f>
        <v/>
      </c>
      <c r="N30" s="1194" t="s">
        <v>4186</v>
      </c>
      <c r="O30" s="1352" t="str">
        <f t="shared" si="0"/>
        <v/>
      </c>
      <c r="P30" s="1190"/>
      <c r="Q30" s="1311"/>
      <c r="R30" s="1353"/>
      <c r="S30" s="824"/>
      <c r="T30" s="824"/>
      <c r="U30" s="824"/>
      <c r="V30" s="824"/>
      <c r="W30" s="824"/>
      <c r="X30" s="824"/>
      <c r="Y30" s="824"/>
      <c r="Z30" s="824"/>
      <c r="AA30" s="824"/>
    </row>
    <row r="31" spans="1:27" s="825" customFormat="1" ht="34.950000000000003" customHeight="1">
      <c r="A31" s="1956" t="e">
        <f>VLOOKUP(ROW()-ROW($A$5),TongHopKL!A:B,2,0)</f>
        <v>#N/A</v>
      </c>
      <c r="B31" s="1596">
        <f>SUM($O$6:O31)</f>
        <v>0</v>
      </c>
      <c r="C31" s="1597" t="e">
        <f>(VLOOKUP(A31,TongHopKL!B:F,5,0))</f>
        <v>#N/A</v>
      </c>
      <c r="D31" s="1598">
        <f>IFERROR(VLOOKUP(A31,DG!A:D,4,0),0)</f>
        <v>0</v>
      </c>
      <c r="E31" s="1599">
        <f>SUMIF(TongHopKL!B:B,'NT-VT'!A31,ThiCong)</f>
        <v>0</v>
      </c>
      <c r="F31" s="1596" t="str">
        <f>IFERROR(VLOOKUP(A31,Solieu!G:M,2,0),"")</f>
        <v/>
      </c>
      <c r="G31" s="1596" t="str">
        <f>IFERROR(VLOOKUP(A31,Solieu!G:M,3,0),"")</f>
        <v/>
      </c>
      <c r="H31" s="1596"/>
      <c r="I31" s="1600"/>
      <c r="J31" s="1601" t="str">
        <f>IFERROR(VLOOKUP(A31,Solieu!G:M,4,0),"")</f>
        <v/>
      </c>
      <c r="K31" s="1602" t="str">
        <f>IFERROR(VLOOKUP(A31,Solieu!G:M,5,0),"")</f>
        <v/>
      </c>
      <c r="L31" s="1774" t="str">
        <f>IFERROR(VLOOKUP(A31,Solieu!G:M,6,0),"")</f>
        <v/>
      </c>
      <c r="M31" s="1600" t="str">
        <f>IFERROR(VLOOKUP(A31,Solieu!G:M,7,0),"")</f>
        <v/>
      </c>
      <c r="N31" s="1194" t="s">
        <v>4186</v>
      </c>
      <c r="O31" s="1352" t="str">
        <f t="shared" si="0"/>
        <v/>
      </c>
      <c r="P31" s="1190"/>
      <c r="Q31" s="1311"/>
      <c r="R31" s="1353"/>
      <c r="S31" s="824"/>
      <c r="T31" s="824"/>
      <c r="U31" s="824"/>
      <c r="V31" s="824"/>
      <c r="W31" s="824"/>
      <c r="X31" s="824"/>
      <c r="Y31" s="824"/>
      <c r="Z31" s="824"/>
      <c r="AA31" s="824"/>
    </row>
    <row r="32" spans="1:27" s="825" customFormat="1" ht="34.950000000000003" customHeight="1">
      <c r="A32" s="1956" t="e">
        <f>VLOOKUP(ROW()-ROW($A$5),TongHopKL!A:B,2,0)</f>
        <v>#N/A</v>
      </c>
      <c r="B32" s="1596">
        <f>SUM($O$6:O32)</f>
        <v>0</v>
      </c>
      <c r="C32" s="1597" t="e">
        <f>(VLOOKUP(A32,TongHopKL!B:F,5,0))</f>
        <v>#N/A</v>
      </c>
      <c r="D32" s="1598">
        <f>IFERROR(VLOOKUP(A32,DG!A:D,4,0),0)</f>
        <v>0</v>
      </c>
      <c r="E32" s="1599">
        <f>SUMIF(TongHopKL!B:B,'NT-VT'!A32,ThiCong)</f>
        <v>0</v>
      </c>
      <c r="F32" s="1596" t="str">
        <f>IFERROR(VLOOKUP(A32,Solieu!G:M,2,0),"")</f>
        <v/>
      </c>
      <c r="G32" s="1596" t="str">
        <f>IFERROR(VLOOKUP(A32,Solieu!G:M,3,0),"")</f>
        <v/>
      </c>
      <c r="H32" s="1596"/>
      <c r="I32" s="1600"/>
      <c r="J32" s="1601" t="str">
        <f>IFERROR(VLOOKUP(A32,Solieu!G:M,4,0),"")</f>
        <v/>
      </c>
      <c r="K32" s="1602" t="str">
        <f>IFERROR(VLOOKUP(A32,Solieu!G:M,5,0),"")</f>
        <v/>
      </c>
      <c r="L32" s="1774" t="str">
        <f>IFERROR(VLOOKUP(A32,Solieu!G:M,6,0),"")</f>
        <v/>
      </c>
      <c r="M32" s="1600" t="str">
        <f>IFERROR(VLOOKUP(A32,Solieu!G:M,7,0),"")</f>
        <v/>
      </c>
      <c r="N32" s="1194" t="s">
        <v>4186</v>
      </c>
      <c r="O32" s="1352" t="str">
        <f t="shared" si="0"/>
        <v/>
      </c>
      <c r="P32" s="1190"/>
      <c r="Q32" s="1311"/>
      <c r="R32" s="1353"/>
      <c r="S32" s="824"/>
      <c r="T32" s="824"/>
      <c r="U32" s="824"/>
      <c r="V32" s="824"/>
      <c r="W32" s="824"/>
      <c r="X32" s="824"/>
      <c r="Y32" s="824"/>
      <c r="Z32" s="824"/>
      <c r="AA32" s="824"/>
    </row>
    <row r="33" spans="1:27" s="825" customFormat="1" ht="34.950000000000003" customHeight="1">
      <c r="A33" s="1956" t="e">
        <f>VLOOKUP(ROW()-ROW($A$5),TongHopKL!A:B,2,0)</f>
        <v>#N/A</v>
      </c>
      <c r="B33" s="1596">
        <f>SUM($O$6:O33)</f>
        <v>0</v>
      </c>
      <c r="C33" s="1597" t="e">
        <f>(VLOOKUP(A33,TongHopKL!B:F,5,0))</f>
        <v>#N/A</v>
      </c>
      <c r="D33" s="1598">
        <f>IFERROR(VLOOKUP(A33,DG!A:D,4,0),0)</f>
        <v>0</v>
      </c>
      <c r="E33" s="1599">
        <f>SUMIF(TongHopKL!B:B,'NT-VT'!A33,ThiCong)</f>
        <v>0</v>
      </c>
      <c r="F33" s="1596" t="str">
        <f>IFERROR(VLOOKUP(A33,Solieu!G:M,2,0),"")</f>
        <v/>
      </c>
      <c r="G33" s="1596" t="str">
        <f>IFERROR(VLOOKUP(A33,Solieu!G:M,3,0),"")</f>
        <v/>
      </c>
      <c r="H33" s="1596"/>
      <c r="I33" s="1600"/>
      <c r="J33" s="1601" t="str">
        <f>IFERROR(VLOOKUP(A33,Solieu!G:M,4,0),"")</f>
        <v/>
      </c>
      <c r="K33" s="1602" t="str">
        <f>IFERROR(VLOOKUP(A33,Solieu!G:M,5,0),"")</f>
        <v/>
      </c>
      <c r="L33" s="1774" t="str">
        <f>IFERROR(VLOOKUP(A33,Solieu!G:M,6,0),"")</f>
        <v/>
      </c>
      <c r="M33" s="1600" t="str">
        <f>IFERROR(VLOOKUP(A33,Solieu!G:M,7,0),"")</f>
        <v/>
      </c>
      <c r="N33" s="1194" t="s">
        <v>4186</v>
      </c>
      <c r="O33" s="1352" t="str">
        <f t="shared" si="0"/>
        <v/>
      </c>
      <c r="P33" s="1190"/>
      <c r="Q33" s="1311"/>
      <c r="R33" s="1353"/>
      <c r="S33" s="824"/>
      <c r="T33" s="824"/>
      <c r="U33" s="824"/>
      <c r="V33" s="824"/>
      <c r="W33" s="824"/>
      <c r="X33" s="824"/>
      <c r="Y33" s="824"/>
      <c r="Z33" s="824"/>
      <c r="AA33" s="824"/>
    </row>
    <row r="34" spans="1:27" s="825" customFormat="1" ht="34.950000000000003" customHeight="1">
      <c r="A34" s="1956" t="e">
        <f>VLOOKUP(ROW()-ROW($A$5),TongHopKL!A:B,2,0)</f>
        <v>#N/A</v>
      </c>
      <c r="B34" s="1596">
        <f>SUM($O$6:O34)</f>
        <v>0</v>
      </c>
      <c r="C34" s="1597" t="e">
        <f>(VLOOKUP(A34,TongHopKL!B:F,5,0))</f>
        <v>#N/A</v>
      </c>
      <c r="D34" s="1598">
        <f>IFERROR(VLOOKUP(A34,DG!A:D,4,0),0)</f>
        <v>0</v>
      </c>
      <c r="E34" s="1599">
        <f>SUMIF(TongHopKL!B:B,'NT-VT'!A34,ThiCong)</f>
        <v>0</v>
      </c>
      <c r="F34" s="1596" t="str">
        <f>IFERROR(VLOOKUP(A34,Solieu!G:M,2,0),"")</f>
        <v/>
      </c>
      <c r="G34" s="1596" t="str">
        <f>IFERROR(VLOOKUP(A34,Solieu!G:M,3,0),"")</f>
        <v/>
      </c>
      <c r="H34" s="1596"/>
      <c r="I34" s="1600"/>
      <c r="J34" s="1601" t="str">
        <f>IFERROR(VLOOKUP(A34,Solieu!G:M,4,0),"")</f>
        <v/>
      </c>
      <c r="K34" s="1602" t="str">
        <f>IFERROR(VLOOKUP(A34,Solieu!G:M,5,0),"")</f>
        <v/>
      </c>
      <c r="L34" s="1774" t="str">
        <f>IFERROR(VLOOKUP(A34,Solieu!G:M,6,0),"")</f>
        <v/>
      </c>
      <c r="M34" s="1600" t="str">
        <f>IFERROR(VLOOKUP(A34,Solieu!G:M,7,0),"")</f>
        <v/>
      </c>
      <c r="N34" s="1194" t="s">
        <v>4186</v>
      </c>
      <c r="O34" s="1352" t="str">
        <f t="shared" si="0"/>
        <v/>
      </c>
      <c r="P34" s="1190"/>
      <c r="Q34" s="1311"/>
      <c r="R34" s="1353"/>
      <c r="S34" s="824"/>
      <c r="T34" s="824"/>
      <c r="U34" s="824"/>
      <c r="V34" s="824"/>
      <c r="W34" s="824"/>
      <c r="X34" s="824"/>
      <c r="Y34" s="824"/>
      <c r="Z34" s="824"/>
      <c r="AA34" s="824"/>
    </row>
    <row r="35" spans="1:27" s="825" customFormat="1" ht="34.950000000000003" customHeight="1">
      <c r="A35" s="1956" t="e">
        <f>VLOOKUP(ROW()-ROW($A$5),TongHopKL!A:B,2,0)</f>
        <v>#N/A</v>
      </c>
      <c r="B35" s="1596">
        <f>SUM($O$6:O35)</f>
        <v>0</v>
      </c>
      <c r="C35" s="1597" t="e">
        <f>(VLOOKUP(A35,TongHopKL!B:F,5,0))</f>
        <v>#N/A</v>
      </c>
      <c r="D35" s="1598">
        <f>IFERROR(VLOOKUP(A35,DG!A:D,4,0),0)</f>
        <v>0</v>
      </c>
      <c r="E35" s="1599">
        <f>SUMIF(TongHopKL!B:B,'NT-VT'!A35,ThiCong)</f>
        <v>0</v>
      </c>
      <c r="F35" s="1596" t="str">
        <f>IFERROR(VLOOKUP(A35,Solieu!G:M,2,0),"")</f>
        <v/>
      </c>
      <c r="G35" s="1596" t="str">
        <f>IFERROR(VLOOKUP(A35,Solieu!G:M,3,0),"")</f>
        <v/>
      </c>
      <c r="H35" s="1596"/>
      <c r="I35" s="1600"/>
      <c r="J35" s="1601" t="str">
        <f>IFERROR(VLOOKUP(A35,Solieu!G:M,4,0),"")</f>
        <v/>
      </c>
      <c r="K35" s="1602" t="str">
        <f>IFERROR(VLOOKUP(A35,Solieu!G:M,5,0),"")</f>
        <v/>
      </c>
      <c r="L35" s="1774" t="str">
        <f>IFERROR(VLOOKUP(A35,Solieu!G:M,6,0),"")</f>
        <v/>
      </c>
      <c r="M35" s="1600" t="str">
        <f>IFERROR(VLOOKUP(A35,Solieu!G:M,7,0),"")</f>
        <v/>
      </c>
      <c r="N35" s="1194" t="s">
        <v>4186</v>
      </c>
      <c r="O35" s="1352" t="str">
        <f t="shared" si="0"/>
        <v/>
      </c>
      <c r="P35" s="1190"/>
      <c r="Q35" s="1311"/>
      <c r="R35" s="1353"/>
      <c r="S35" s="824"/>
      <c r="T35" s="824"/>
      <c r="U35" s="824"/>
      <c r="V35" s="824"/>
      <c r="W35" s="824"/>
      <c r="X35" s="824"/>
      <c r="Y35" s="824"/>
      <c r="Z35" s="824"/>
      <c r="AA35" s="824"/>
    </row>
    <row r="36" spans="1:27" s="825" customFormat="1" ht="34.950000000000003" customHeight="1">
      <c r="A36" s="1956" t="e">
        <f>VLOOKUP(ROW()-ROW($A$5),TongHopKL!A:B,2,0)</f>
        <v>#N/A</v>
      </c>
      <c r="B36" s="1596">
        <f>SUM($O$6:O36)</f>
        <v>0</v>
      </c>
      <c r="C36" s="1597" t="e">
        <f>(VLOOKUP(A36,TongHopKL!B:F,5,0))</f>
        <v>#N/A</v>
      </c>
      <c r="D36" s="1598">
        <f>IFERROR(VLOOKUP(A36,DG!A:D,4,0),0)</f>
        <v>0</v>
      </c>
      <c r="E36" s="1599">
        <f>SUMIF(TongHopKL!B:B,'NT-VT'!A36,ThiCong)</f>
        <v>0</v>
      </c>
      <c r="F36" s="1596" t="str">
        <f>IFERROR(VLOOKUP(A36,Solieu!G:M,2,0),"")</f>
        <v/>
      </c>
      <c r="G36" s="1596" t="str">
        <f>IFERROR(VLOOKUP(A36,Solieu!G:M,3,0),"")</f>
        <v/>
      </c>
      <c r="H36" s="1596"/>
      <c r="I36" s="1600"/>
      <c r="J36" s="1601" t="str">
        <f>IFERROR(VLOOKUP(A36,Solieu!G:M,4,0),"")</f>
        <v/>
      </c>
      <c r="K36" s="1602" t="str">
        <f>IFERROR(VLOOKUP(A36,Solieu!G:M,5,0),"")</f>
        <v/>
      </c>
      <c r="L36" s="1774" t="str">
        <f>IFERROR(VLOOKUP(A36,Solieu!G:M,6,0),"")</f>
        <v/>
      </c>
      <c r="M36" s="1600" t="str">
        <f>IFERROR(VLOOKUP(A36,Solieu!G:M,7,0),"")</f>
        <v/>
      </c>
      <c r="N36" s="1194" t="s">
        <v>4186</v>
      </c>
      <c r="O36" s="1352" t="str">
        <f t="shared" si="0"/>
        <v/>
      </c>
      <c r="P36" s="1190"/>
      <c r="Q36" s="1311"/>
      <c r="R36" s="1353"/>
      <c r="S36" s="824"/>
      <c r="T36" s="824"/>
      <c r="U36" s="824"/>
      <c r="V36" s="824"/>
      <c r="W36" s="824"/>
      <c r="X36" s="824"/>
      <c r="Y36" s="824"/>
      <c r="Z36" s="824"/>
      <c r="AA36" s="824"/>
    </row>
    <row r="37" spans="1:27" s="825" customFormat="1" ht="34.950000000000003" customHeight="1">
      <c r="A37" s="1956" t="e">
        <f>VLOOKUP(ROW()-ROW($A$5),TongHopKL!A:B,2,0)</f>
        <v>#N/A</v>
      </c>
      <c r="B37" s="1596">
        <f>SUM($O$6:O37)</f>
        <v>0</v>
      </c>
      <c r="C37" s="1597" t="e">
        <f>(VLOOKUP(A37,TongHopKL!B:F,5,0))</f>
        <v>#N/A</v>
      </c>
      <c r="D37" s="1598">
        <f>IFERROR(VLOOKUP(A37,DG!A:D,4,0),0)</f>
        <v>0</v>
      </c>
      <c r="E37" s="1599">
        <f>SUMIF(TongHopKL!B:B,'NT-VT'!A37,ThiCong)</f>
        <v>0</v>
      </c>
      <c r="F37" s="1596" t="str">
        <f>IFERROR(VLOOKUP(A37,Solieu!G:M,2,0),"")</f>
        <v/>
      </c>
      <c r="G37" s="1596" t="str">
        <f>IFERROR(VLOOKUP(A37,Solieu!G:M,3,0),"")</f>
        <v/>
      </c>
      <c r="H37" s="1596"/>
      <c r="I37" s="1600"/>
      <c r="J37" s="1601" t="str">
        <f>IFERROR(VLOOKUP(A37,Solieu!G:M,4,0),"")</f>
        <v/>
      </c>
      <c r="K37" s="1602" t="str">
        <f>IFERROR(VLOOKUP(A37,Solieu!G:M,5,0),"")</f>
        <v/>
      </c>
      <c r="L37" s="1774" t="str">
        <f>IFERROR(VLOOKUP(A37,Solieu!G:M,6,0),"")</f>
        <v/>
      </c>
      <c r="M37" s="1600" t="str">
        <f>IFERROR(VLOOKUP(A37,Solieu!G:M,7,0),"")</f>
        <v/>
      </c>
      <c r="N37" s="1194" t="s">
        <v>4186</v>
      </c>
      <c r="O37" s="1352" t="str">
        <f t="shared" si="0"/>
        <v/>
      </c>
      <c r="P37" s="1190"/>
      <c r="Q37" s="1311"/>
      <c r="R37" s="1353"/>
      <c r="S37" s="824"/>
      <c r="T37" s="824"/>
      <c r="U37" s="824"/>
      <c r="V37" s="824"/>
      <c r="W37" s="824"/>
      <c r="X37" s="824"/>
      <c r="Y37" s="824"/>
      <c r="Z37" s="824"/>
      <c r="AA37" s="824"/>
    </row>
    <row r="38" spans="1:27" s="825" customFormat="1" ht="34.950000000000003" customHeight="1">
      <c r="A38" s="1956" t="e">
        <f>VLOOKUP(ROW()-ROW($A$5),TongHopKL!A:B,2,0)</f>
        <v>#N/A</v>
      </c>
      <c r="B38" s="1596">
        <f>SUM($O$6:O38)</f>
        <v>0</v>
      </c>
      <c r="C38" s="1597" t="e">
        <f>(VLOOKUP(A38,TongHopKL!B:F,5,0))</f>
        <v>#N/A</v>
      </c>
      <c r="D38" s="1598">
        <f>IFERROR(VLOOKUP(A38,DG!A:D,4,0),0)</f>
        <v>0</v>
      </c>
      <c r="E38" s="1599">
        <f>SUMIF(TongHopKL!B:B,'NT-VT'!A38,ThiCong)</f>
        <v>0</v>
      </c>
      <c r="F38" s="1596" t="str">
        <f>IFERROR(VLOOKUP(A38,Solieu!G:M,2,0),"")</f>
        <v/>
      </c>
      <c r="G38" s="1596" t="str">
        <f>IFERROR(VLOOKUP(A38,Solieu!G:M,3,0),"")</f>
        <v/>
      </c>
      <c r="H38" s="1596"/>
      <c r="I38" s="1600"/>
      <c r="J38" s="1601" t="str">
        <f>IFERROR(VLOOKUP(A38,Solieu!G:M,4,0),"")</f>
        <v/>
      </c>
      <c r="K38" s="1602" t="str">
        <f>IFERROR(VLOOKUP(A38,Solieu!G:M,5,0),"")</f>
        <v/>
      </c>
      <c r="L38" s="1774" t="str">
        <f>IFERROR(VLOOKUP(A38,Solieu!G:M,6,0),"")</f>
        <v/>
      </c>
      <c r="M38" s="1600" t="str">
        <f>IFERROR(VLOOKUP(A38,Solieu!G:M,7,0),"")</f>
        <v/>
      </c>
      <c r="N38" s="1194" t="s">
        <v>4186</v>
      </c>
      <c r="O38" s="1352" t="str">
        <f t="shared" si="0"/>
        <v/>
      </c>
      <c r="P38" s="1190"/>
      <c r="Q38" s="1311"/>
      <c r="R38" s="1353"/>
      <c r="S38" s="824"/>
      <c r="T38" s="824"/>
      <c r="U38" s="824"/>
      <c r="V38" s="824"/>
      <c r="W38" s="824"/>
      <c r="X38" s="824"/>
      <c r="Y38" s="824"/>
      <c r="Z38" s="824"/>
      <c r="AA38" s="824"/>
    </row>
    <row r="39" spans="1:27" s="825" customFormat="1" ht="34.950000000000003" customHeight="1">
      <c r="A39" s="1956" t="e">
        <f>VLOOKUP(ROW()-ROW($A$5),TongHopKL!A:B,2,0)</f>
        <v>#N/A</v>
      </c>
      <c r="B39" s="1596">
        <f>SUM($O$6:O39)</f>
        <v>0</v>
      </c>
      <c r="C39" s="1597" t="e">
        <f>(VLOOKUP(A39,TongHopKL!B:F,5,0))</f>
        <v>#N/A</v>
      </c>
      <c r="D39" s="1598">
        <f>IFERROR(VLOOKUP(A39,DG!A:D,4,0),0)</f>
        <v>0</v>
      </c>
      <c r="E39" s="1599">
        <f>SUMIF(TongHopKL!B:B,'NT-VT'!A39,ThiCong)</f>
        <v>0</v>
      </c>
      <c r="F39" s="1596" t="str">
        <f>IFERROR(VLOOKUP(A39,Solieu!G:M,2,0),"")</f>
        <v/>
      </c>
      <c r="G39" s="1596" t="str">
        <f>IFERROR(VLOOKUP(A39,Solieu!G:M,3,0),"")</f>
        <v/>
      </c>
      <c r="H39" s="1596"/>
      <c r="I39" s="1600"/>
      <c r="J39" s="1601" t="str">
        <f>IFERROR(VLOOKUP(A39,Solieu!G:M,4,0),"")</f>
        <v/>
      </c>
      <c r="K39" s="1602" t="str">
        <f>IFERROR(VLOOKUP(A39,Solieu!G:M,5,0),"")</f>
        <v/>
      </c>
      <c r="L39" s="1774" t="str">
        <f>IFERROR(VLOOKUP(A39,Solieu!G:M,6,0),"")</f>
        <v/>
      </c>
      <c r="M39" s="1600" t="str">
        <f>IFERROR(VLOOKUP(A39,Solieu!G:M,7,0),"")</f>
        <v/>
      </c>
      <c r="N39" s="1194" t="s">
        <v>4186</v>
      </c>
      <c r="O39" s="1352" t="str">
        <f t="shared" si="0"/>
        <v/>
      </c>
      <c r="P39" s="1190"/>
      <c r="Q39" s="1311"/>
      <c r="R39" s="1353"/>
      <c r="S39" s="824"/>
      <c r="T39" s="824"/>
      <c r="U39" s="824"/>
      <c r="V39" s="824"/>
      <c r="W39" s="824"/>
      <c r="X39" s="824"/>
      <c r="Y39" s="824"/>
      <c r="Z39" s="824"/>
      <c r="AA39" s="824"/>
    </row>
    <row r="40" spans="1:27" s="825" customFormat="1" ht="34.950000000000003" customHeight="1">
      <c r="A40" s="1956" t="e">
        <f>VLOOKUP(ROW()-ROW($A$5),TongHopKL!A:B,2,0)</f>
        <v>#N/A</v>
      </c>
      <c r="B40" s="1596">
        <f>SUM($O$6:O40)</f>
        <v>0</v>
      </c>
      <c r="C40" s="1597" t="e">
        <f>(VLOOKUP(A40,TongHopKL!B:F,5,0))</f>
        <v>#N/A</v>
      </c>
      <c r="D40" s="1598">
        <f>IFERROR(VLOOKUP(A40,DG!A:D,4,0),0)</f>
        <v>0</v>
      </c>
      <c r="E40" s="1599">
        <f>SUMIF(TongHopKL!B:B,'NT-VT'!A40,ThiCong)</f>
        <v>0</v>
      </c>
      <c r="F40" s="1596" t="str">
        <f>IFERROR(VLOOKUP(A40,Solieu!G:M,2,0),"")</f>
        <v/>
      </c>
      <c r="G40" s="1596" t="str">
        <f>IFERROR(VLOOKUP(A40,Solieu!G:M,3,0),"")</f>
        <v/>
      </c>
      <c r="H40" s="1596"/>
      <c r="I40" s="1600"/>
      <c r="J40" s="1601" t="str">
        <f>IFERROR(VLOOKUP(A40,Solieu!G:M,4,0),"")</f>
        <v/>
      </c>
      <c r="K40" s="1602" t="str">
        <f>IFERROR(VLOOKUP(A40,Solieu!G:M,5,0),"")</f>
        <v/>
      </c>
      <c r="L40" s="1774" t="str">
        <f>IFERROR(VLOOKUP(A40,Solieu!G:M,6,0),"")</f>
        <v/>
      </c>
      <c r="M40" s="1600" t="str">
        <f>IFERROR(VLOOKUP(A40,Solieu!G:M,7,0),"")</f>
        <v/>
      </c>
      <c r="N40" s="1194" t="s">
        <v>4186</v>
      </c>
      <c r="O40" s="1352" t="str">
        <f t="shared" si="0"/>
        <v/>
      </c>
      <c r="P40" s="1190"/>
      <c r="Q40" s="1311"/>
      <c r="R40" s="1353"/>
      <c r="S40" s="824"/>
      <c r="T40" s="824"/>
      <c r="U40" s="824"/>
      <c r="V40" s="824"/>
      <c r="W40" s="824"/>
      <c r="X40" s="824"/>
      <c r="Y40" s="824"/>
      <c r="Z40" s="824"/>
      <c r="AA40" s="824"/>
    </row>
    <row r="41" spans="1:27" s="825" customFormat="1" ht="34.950000000000003" customHeight="1">
      <c r="A41" s="1956" t="e">
        <f>VLOOKUP(ROW()-ROW($A$5),TongHopKL!A:B,2,0)</f>
        <v>#N/A</v>
      </c>
      <c r="B41" s="1596">
        <f>SUM($O$6:O41)</f>
        <v>0</v>
      </c>
      <c r="C41" s="1597" t="e">
        <f>(VLOOKUP(A41,TongHopKL!B:F,5,0))</f>
        <v>#N/A</v>
      </c>
      <c r="D41" s="1598">
        <f>IFERROR(VLOOKUP(A41,DG!A:D,4,0),0)</f>
        <v>0</v>
      </c>
      <c r="E41" s="1599">
        <f>SUMIF(TongHopKL!B:B,'NT-VT'!A41,ThiCong)</f>
        <v>0</v>
      </c>
      <c r="F41" s="1596" t="str">
        <f>IFERROR(VLOOKUP(A41,Solieu!G:M,2,0),"")</f>
        <v/>
      </c>
      <c r="G41" s="1596" t="str">
        <f>IFERROR(VLOOKUP(A41,Solieu!G:M,3,0),"")</f>
        <v/>
      </c>
      <c r="H41" s="1596"/>
      <c r="I41" s="1600"/>
      <c r="J41" s="1601" t="str">
        <f>IFERROR(VLOOKUP(A41,Solieu!G:M,4,0),"")</f>
        <v/>
      </c>
      <c r="K41" s="1602" t="str">
        <f>IFERROR(VLOOKUP(A41,Solieu!G:M,5,0),"")</f>
        <v/>
      </c>
      <c r="L41" s="1774" t="str">
        <f>IFERROR(VLOOKUP(A41,Solieu!G:M,6,0),"")</f>
        <v/>
      </c>
      <c r="M41" s="1600" t="str">
        <f>IFERROR(VLOOKUP(A41,Solieu!G:M,7,0),"")</f>
        <v/>
      </c>
      <c r="N41" s="1194" t="s">
        <v>4186</v>
      </c>
      <c r="O41" s="1352" t="str">
        <f t="shared" si="0"/>
        <v/>
      </c>
      <c r="P41" s="1190"/>
      <c r="Q41" s="1311"/>
      <c r="R41" s="1353"/>
      <c r="S41" s="824"/>
      <c r="T41" s="824"/>
      <c r="U41" s="824"/>
      <c r="V41" s="824"/>
      <c r="W41" s="824"/>
      <c r="X41" s="824"/>
      <c r="Y41" s="824"/>
      <c r="Z41" s="824"/>
      <c r="AA41" s="824"/>
    </row>
    <row r="42" spans="1:27" s="825" customFormat="1" ht="34.950000000000003" customHeight="1">
      <c r="A42" s="1956" t="e">
        <f>VLOOKUP(ROW()-ROW($A$5),TongHopKL!A:B,2,0)</f>
        <v>#N/A</v>
      </c>
      <c r="B42" s="1596">
        <f>SUM($O$6:O42)</f>
        <v>0</v>
      </c>
      <c r="C42" s="1597" t="e">
        <f>(VLOOKUP(A42,TongHopKL!B:F,5,0))</f>
        <v>#N/A</v>
      </c>
      <c r="D42" s="1598">
        <f>IFERROR(VLOOKUP(A42,DG!A:D,4,0),0)</f>
        <v>0</v>
      </c>
      <c r="E42" s="1599">
        <f>SUMIF(TongHopKL!B:B,'NT-VT'!A42,ThiCong)</f>
        <v>0</v>
      </c>
      <c r="F42" s="1596" t="str">
        <f>IFERROR(VLOOKUP(A42,Solieu!G:M,2,0),"")</f>
        <v/>
      </c>
      <c r="G42" s="1596" t="str">
        <f>IFERROR(VLOOKUP(A42,Solieu!G:M,3,0),"")</f>
        <v/>
      </c>
      <c r="H42" s="1596"/>
      <c r="I42" s="1600"/>
      <c r="J42" s="1601" t="str">
        <f>IFERROR(VLOOKUP(A42,Solieu!G:M,4,0),"")</f>
        <v/>
      </c>
      <c r="K42" s="1602" t="str">
        <f>IFERROR(VLOOKUP(A42,Solieu!G:M,5,0),"")</f>
        <v/>
      </c>
      <c r="L42" s="1774" t="str">
        <f>IFERROR(VLOOKUP(A42,Solieu!G:M,6,0),"")</f>
        <v/>
      </c>
      <c r="M42" s="1600" t="str">
        <f>IFERROR(VLOOKUP(A42,Solieu!G:M,7,0),"")</f>
        <v/>
      </c>
      <c r="N42" s="1194" t="s">
        <v>4186</v>
      </c>
      <c r="O42" s="1352" t="str">
        <f t="shared" si="0"/>
        <v/>
      </c>
      <c r="P42" s="1190"/>
      <c r="Q42" s="1311"/>
      <c r="R42" s="1353"/>
      <c r="S42" s="824"/>
      <c r="T42" s="824"/>
      <c r="U42" s="824"/>
      <c r="V42" s="824"/>
      <c r="W42" s="824"/>
      <c r="X42" s="824"/>
      <c r="Y42" s="824"/>
      <c r="Z42" s="824"/>
      <c r="AA42" s="824"/>
    </row>
    <row r="43" spans="1:27" s="825" customFormat="1" ht="34.950000000000003" customHeight="1">
      <c r="A43" s="1956" t="e">
        <f>VLOOKUP(ROW()-ROW($A$5),TongHopKL!A:B,2,0)</f>
        <v>#N/A</v>
      </c>
      <c r="B43" s="1596">
        <f>SUM($O$6:O43)</f>
        <v>0</v>
      </c>
      <c r="C43" s="1597" t="e">
        <f>(VLOOKUP(A43,TongHopKL!B:F,5,0))</f>
        <v>#N/A</v>
      </c>
      <c r="D43" s="1598">
        <f>IFERROR(VLOOKUP(A43,DG!A:D,4,0),0)</f>
        <v>0</v>
      </c>
      <c r="E43" s="1599">
        <f>SUMIF(TongHopKL!B:B,'NT-VT'!A43,ThiCong)</f>
        <v>0</v>
      </c>
      <c r="F43" s="1596" t="str">
        <f>IFERROR(VLOOKUP(A43,Solieu!G:M,2,0),"")</f>
        <v/>
      </c>
      <c r="G43" s="1596" t="str">
        <f>IFERROR(VLOOKUP(A43,Solieu!G:M,3,0),"")</f>
        <v/>
      </c>
      <c r="H43" s="1596"/>
      <c r="I43" s="1600"/>
      <c r="J43" s="1601" t="str">
        <f>IFERROR(VLOOKUP(A43,Solieu!G:M,4,0),"")</f>
        <v/>
      </c>
      <c r="K43" s="1602" t="str">
        <f>IFERROR(VLOOKUP(A43,Solieu!G:M,5,0),"")</f>
        <v/>
      </c>
      <c r="L43" s="1774" t="str">
        <f>IFERROR(VLOOKUP(A43,Solieu!G:M,6,0),"")</f>
        <v/>
      </c>
      <c r="M43" s="1600" t="str">
        <f>IFERROR(VLOOKUP(A43,Solieu!G:M,7,0),"")</f>
        <v/>
      </c>
      <c r="N43" s="1194" t="s">
        <v>4186</v>
      </c>
      <c r="O43" s="1352" t="str">
        <f t="shared" si="0"/>
        <v/>
      </c>
      <c r="P43" s="1190"/>
      <c r="Q43" s="1311"/>
      <c r="R43" s="1353"/>
      <c r="S43" s="824"/>
      <c r="T43" s="824"/>
      <c r="U43" s="824"/>
      <c r="V43" s="824"/>
      <c r="W43" s="824"/>
      <c r="X43" s="824"/>
      <c r="Y43" s="824"/>
      <c r="Z43" s="824"/>
      <c r="AA43" s="824"/>
    </row>
    <row r="44" spans="1:27" s="825" customFormat="1" ht="34.950000000000003" customHeight="1">
      <c r="A44" s="1956" t="e">
        <f>VLOOKUP(ROW()-ROW($A$5),TongHopKL!A:B,2,0)</f>
        <v>#N/A</v>
      </c>
      <c r="B44" s="1596">
        <f>SUM($O$6:O44)</f>
        <v>0</v>
      </c>
      <c r="C44" s="1597" t="e">
        <f>(VLOOKUP(A44,TongHopKL!B:F,5,0))</f>
        <v>#N/A</v>
      </c>
      <c r="D44" s="1598">
        <f>IFERROR(VLOOKUP(A44,DG!A:D,4,0),0)</f>
        <v>0</v>
      </c>
      <c r="E44" s="1599">
        <f>SUMIF(TongHopKL!B:B,'NT-VT'!A44,ThiCong)</f>
        <v>0</v>
      </c>
      <c r="F44" s="1596" t="str">
        <f>IFERROR(VLOOKUP(A44,Solieu!G:M,2,0),"")</f>
        <v/>
      </c>
      <c r="G44" s="1596" t="str">
        <f>IFERROR(VLOOKUP(A44,Solieu!G:M,3,0),"")</f>
        <v/>
      </c>
      <c r="H44" s="1596"/>
      <c r="I44" s="1600"/>
      <c r="J44" s="1601" t="str">
        <f>IFERROR(VLOOKUP(A44,Solieu!G:M,4,0),"")</f>
        <v/>
      </c>
      <c r="K44" s="1602" t="str">
        <f>IFERROR(VLOOKUP(A44,Solieu!G:M,5,0),"")</f>
        <v/>
      </c>
      <c r="L44" s="1774" t="str">
        <f>IFERROR(VLOOKUP(A44,Solieu!G:M,6,0),"")</f>
        <v/>
      </c>
      <c r="M44" s="1600" t="str">
        <f>IFERROR(VLOOKUP(A44,Solieu!G:M,7,0),"")</f>
        <v/>
      </c>
      <c r="N44" s="1194" t="s">
        <v>4186</v>
      </c>
      <c r="O44" s="1352" t="str">
        <f t="shared" si="0"/>
        <v/>
      </c>
      <c r="P44" s="1190"/>
      <c r="Q44" s="1311"/>
      <c r="R44" s="1353"/>
      <c r="S44" s="824"/>
      <c r="T44" s="824"/>
      <c r="U44" s="824"/>
      <c r="V44" s="824"/>
      <c r="W44" s="824"/>
      <c r="X44" s="824"/>
      <c r="Y44" s="824"/>
      <c r="Z44" s="824"/>
      <c r="AA44" s="824"/>
    </row>
    <row r="45" spans="1:27" s="825" customFormat="1" ht="34.950000000000003" customHeight="1">
      <c r="A45" s="1956" t="e">
        <f>VLOOKUP(ROW()-ROW($A$5),TongHopKL!A:B,2,0)</f>
        <v>#N/A</v>
      </c>
      <c r="B45" s="1596">
        <f>SUM($O$6:O45)</f>
        <v>0</v>
      </c>
      <c r="C45" s="1597" t="e">
        <f>(VLOOKUP(A45,TongHopKL!B:F,5,0))</f>
        <v>#N/A</v>
      </c>
      <c r="D45" s="1598">
        <f>IFERROR(VLOOKUP(A45,DG!A:D,4,0),0)</f>
        <v>0</v>
      </c>
      <c r="E45" s="1599">
        <f>SUMIF(TongHopKL!B:B,'NT-VT'!A45,ThiCong)</f>
        <v>0</v>
      </c>
      <c r="F45" s="1596" t="str">
        <f>IFERROR(VLOOKUP(A45,Solieu!G:M,2,0),"")</f>
        <v/>
      </c>
      <c r="G45" s="1596" t="str">
        <f>IFERROR(VLOOKUP(A45,Solieu!G:M,3,0),"")</f>
        <v/>
      </c>
      <c r="H45" s="1596"/>
      <c r="I45" s="1600"/>
      <c r="J45" s="1601" t="str">
        <f>IFERROR(VLOOKUP(A45,Solieu!G:M,4,0),"")</f>
        <v/>
      </c>
      <c r="K45" s="1602" t="str">
        <f>IFERROR(VLOOKUP(A45,Solieu!G:M,5,0),"")</f>
        <v/>
      </c>
      <c r="L45" s="1774" t="str">
        <f>IFERROR(VLOOKUP(A45,Solieu!G:M,6,0),"")</f>
        <v/>
      </c>
      <c r="M45" s="1600" t="str">
        <f>IFERROR(VLOOKUP(A45,Solieu!G:M,7,0),"")</f>
        <v/>
      </c>
      <c r="N45" s="1194" t="s">
        <v>4186</v>
      </c>
      <c r="O45" s="1352" t="str">
        <f t="shared" si="0"/>
        <v/>
      </c>
      <c r="P45" s="1190"/>
      <c r="Q45" s="1311"/>
      <c r="R45" s="1353"/>
      <c r="S45" s="824"/>
      <c r="T45" s="824"/>
      <c r="U45" s="824"/>
      <c r="V45" s="824"/>
      <c r="W45" s="824"/>
      <c r="X45" s="824"/>
      <c r="Y45" s="824"/>
      <c r="Z45" s="824"/>
      <c r="AA45" s="824"/>
    </row>
    <row r="46" spans="1:27" s="825" customFormat="1" ht="34.950000000000003" customHeight="1">
      <c r="A46" s="1956" t="e">
        <f>VLOOKUP(ROW()-ROW($A$5),TongHopKL!A:B,2,0)</f>
        <v>#N/A</v>
      </c>
      <c r="B46" s="1596">
        <f>SUM($O$6:O46)</f>
        <v>0</v>
      </c>
      <c r="C46" s="1597" t="e">
        <f>(VLOOKUP(A46,TongHopKL!B:F,5,0))</f>
        <v>#N/A</v>
      </c>
      <c r="D46" s="1598">
        <f>IFERROR(VLOOKUP(A46,DG!A:D,4,0),0)</f>
        <v>0</v>
      </c>
      <c r="E46" s="1599">
        <f>SUMIF(TongHopKL!B:B,'NT-VT'!A46,ThiCong)</f>
        <v>0</v>
      </c>
      <c r="F46" s="1596" t="str">
        <f>IFERROR(VLOOKUP(A46,Solieu!G:M,2,0),"")</f>
        <v/>
      </c>
      <c r="G46" s="1596" t="str">
        <f>IFERROR(VLOOKUP(A46,Solieu!G:M,3,0),"")</f>
        <v/>
      </c>
      <c r="H46" s="1596"/>
      <c r="I46" s="1600"/>
      <c r="J46" s="1601" t="str">
        <f>IFERROR(VLOOKUP(A46,Solieu!G:M,4,0),"")</f>
        <v/>
      </c>
      <c r="K46" s="1602" t="str">
        <f>IFERROR(VLOOKUP(A46,Solieu!G:M,5,0),"")</f>
        <v/>
      </c>
      <c r="L46" s="1774" t="str">
        <f>IFERROR(VLOOKUP(A46,Solieu!G:M,6,0),"")</f>
        <v/>
      </c>
      <c r="M46" s="1600" t="str">
        <f>IFERROR(VLOOKUP(A46,Solieu!G:M,7,0),"")</f>
        <v/>
      </c>
      <c r="N46" s="1194" t="s">
        <v>4186</v>
      </c>
      <c r="O46" s="1352" t="str">
        <f t="shared" si="0"/>
        <v/>
      </c>
      <c r="P46" s="1190"/>
      <c r="Q46" s="1311"/>
      <c r="R46" s="1353"/>
      <c r="S46" s="824"/>
      <c r="T46" s="824"/>
      <c r="U46" s="824"/>
      <c r="V46" s="824"/>
      <c r="W46" s="824"/>
      <c r="X46" s="824"/>
      <c r="Y46" s="824"/>
      <c r="Z46" s="824"/>
      <c r="AA46" s="824"/>
    </row>
    <row r="47" spans="1:27" s="825" customFormat="1" ht="34.950000000000003" customHeight="1">
      <c r="A47" s="1956" t="e">
        <f>VLOOKUP(ROW()-ROW($A$5),TongHopKL!A:B,2,0)</f>
        <v>#N/A</v>
      </c>
      <c r="B47" s="1596">
        <f>SUM($O$6:O47)</f>
        <v>0</v>
      </c>
      <c r="C47" s="1597" t="e">
        <f>(VLOOKUP(A47,TongHopKL!B:F,5,0))</f>
        <v>#N/A</v>
      </c>
      <c r="D47" s="1598">
        <f>IFERROR(VLOOKUP(A47,DG!A:D,4,0),0)</f>
        <v>0</v>
      </c>
      <c r="E47" s="1599">
        <f>SUMIF(TongHopKL!B:B,'NT-VT'!A47,ThiCong)</f>
        <v>0</v>
      </c>
      <c r="F47" s="1596" t="str">
        <f>IFERROR(VLOOKUP(A47,Solieu!G:M,2,0),"")</f>
        <v/>
      </c>
      <c r="G47" s="1596" t="str">
        <f>IFERROR(VLOOKUP(A47,Solieu!G:M,3,0),"")</f>
        <v/>
      </c>
      <c r="H47" s="1596"/>
      <c r="I47" s="1600"/>
      <c r="J47" s="1601" t="str">
        <f>IFERROR(VLOOKUP(A47,Solieu!G:M,4,0),"")</f>
        <v/>
      </c>
      <c r="K47" s="1602" t="str">
        <f>IFERROR(VLOOKUP(A47,Solieu!G:M,5,0),"")</f>
        <v/>
      </c>
      <c r="L47" s="1774" t="str">
        <f>IFERROR(VLOOKUP(A47,Solieu!G:M,6,0),"")</f>
        <v/>
      </c>
      <c r="M47" s="1600" t="str">
        <f>IFERROR(VLOOKUP(A47,Solieu!G:M,7,0),"")</f>
        <v/>
      </c>
      <c r="N47" s="1194" t="s">
        <v>4186</v>
      </c>
      <c r="O47" s="1352" t="str">
        <f t="shared" si="0"/>
        <v/>
      </c>
      <c r="P47" s="1190"/>
      <c r="Q47" s="1311"/>
      <c r="R47" s="1353"/>
      <c r="S47" s="824"/>
      <c r="T47" s="824"/>
      <c r="U47" s="824"/>
      <c r="V47" s="824"/>
      <c r="W47" s="824"/>
      <c r="X47" s="824"/>
      <c r="Y47" s="824"/>
      <c r="Z47" s="824"/>
      <c r="AA47" s="824"/>
    </row>
    <row r="48" spans="1:27" s="825" customFormat="1" ht="34.950000000000003" customHeight="1">
      <c r="A48" s="1956" t="e">
        <f>VLOOKUP(ROW()-ROW($A$5),TongHopKL!A:B,2,0)</f>
        <v>#N/A</v>
      </c>
      <c r="B48" s="1596">
        <f>SUM($O$6:O48)</f>
        <v>0</v>
      </c>
      <c r="C48" s="1597" t="e">
        <f>(VLOOKUP(A48,TongHopKL!B:F,5,0))</f>
        <v>#N/A</v>
      </c>
      <c r="D48" s="1598">
        <f>IFERROR(VLOOKUP(A48,DG!A:D,4,0),0)</f>
        <v>0</v>
      </c>
      <c r="E48" s="1599">
        <f>SUMIF(TongHopKL!B:B,'NT-VT'!A48,ThiCong)</f>
        <v>0</v>
      </c>
      <c r="F48" s="1596" t="str">
        <f>IFERROR(VLOOKUP(A48,Solieu!G:M,2,0),"")</f>
        <v/>
      </c>
      <c r="G48" s="1596" t="str">
        <f>IFERROR(VLOOKUP(A48,Solieu!G:M,3,0),"")</f>
        <v/>
      </c>
      <c r="H48" s="1596"/>
      <c r="I48" s="1600"/>
      <c r="J48" s="1601" t="str">
        <f>IFERROR(VLOOKUP(A48,Solieu!G:M,4,0),"")</f>
        <v/>
      </c>
      <c r="K48" s="1602" t="str">
        <f>IFERROR(VLOOKUP(A48,Solieu!G:M,5,0),"")</f>
        <v/>
      </c>
      <c r="L48" s="1774" t="str">
        <f>IFERROR(VLOOKUP(A48,Solieu!G:M,6,0),"")</f>
        <v/>
      </c>
      <c r="M48" s="1600" t="str">
        <f>IFERROR(VLOOKUP(A48,Solieu!G:M,7,0),"")</f>
        <v/>
      </c>
      <c r="N48" s="1194" t="s">
        <v>4186</v>
      </c>
      <c r="O48" s="1352" t="str">
        <f t="shared" si="0"/>
        <v/>
      </c>
      <c r="P48" s="1190"/>
      <c r="Q48" s="1311"/>
      <c r="R48" s="1353"/>
      <c r="S48" s="824"/>
      <c r="T48" s="824"/>
      <c r="U48" s="824"/>
      <c r="V48" s="824"/>
      <c r="W48" s="824"/>
      <c r="X48" s="824"/>
      <c r="Y48" s="824"/>
      <c r="Z48" s="824"/>
      <c r="AA48" s="824"/>
    </row>
    <row r="49" spans="1:27" s="825" customFormat="1" ht="34.950000000000003" customHeight="1">
      <c r="A49" s="1956" t="e">
        <f>VLOOKUP(ROW()-ROW($A$5),TongHopKL!A:B,2,0)</f>
        <v>#N/A</v>
      </c>
      <c r="B49" s="1596">
        <f>SUM($O$6:O49)</f>
        <v>0</v>
      </c>
      <c r="C49" s="1597" t="e">
        <f>(VLOOKUP(A49,TongHopKL!B:F,5,0))</f>
        <v>#N/A</v>
      </c>
      <c r="D49" s="1598">
        <f>IFERROR(VLOOKUP(A49,DG!A:D,4,0),0)</f>
        <v>0</v>
      </c>
      <c r="E49" s="1599">
        <f>SUMIF(TongHopKL!B:B,'NT-VT'!A49,ThiCong)</f>
        <v>0</v>
      </c>
      <c r="F49" s="1596" t="str">
        <f>IFERROR(VLOOKUP(A49,Solieu!G:M,2,0),"")</f>
        <v/>
      </c>
      <c r="G49" s="1596" t="str">
        <f>IFERROR(VLOOKUP(A49,Solieu!G:M,3,0),"")</f>
        <v/>
      </c>
      <c r="H49" s="1596"/>
      <c r="I49" s="1600"/>
      <c r="J49" s="1601" t="str">
        <f>IFERROR(VLOOKUP(A49,Solieu!G:M,4,0),"")</f>
        <v/>
      </c>
      <c r="K49" s="1602" t="str">
        <f>IFERROR(VLOOKUP(A49,Solieu!G:M,5,0),"")</f>
        <v/>
      </c>
      <c r="L49" s="1774" t="str">
        <f>IFERROR(VLOOKUP(A49,Solieu!G:M,6,0),"")</f>
        <v/>
      </c>
      <c r="M49" s="1600" t="str">
        <f>IFERROR(VLOOKUP(A49,Solieu!G:M,7,0),"")</f>
        <v/>
      </c>
      <c r="N49" s="1194" t="s">
        <v>4186</v>
      </c>
      <c r="O49" s="1352" t="str">
        <f t="shared" si="0"/>
        <v/>
      </c>
      <c r="P49" s="1190"/>
      <c r="Q49" s="1311"/>
      <c r="R49" s="1353"/>
      <c r="S49" s="824"/>
      <c r="T49" s="824"/>
      <c r="U49" s="824"/>
      <c r="V49" s="824"/>
      <c r="W49" s="824"/>
      <c r="X49" s="824"/>
      <c r="Y49" s="824"/>
      <c r="Z49" s="824"/>
      <c r="AA49" s="824"/>
    </row>
    <row r="50" spans="1:27" s="825" customFormat="1" ht="34.950000000000003" customHeight="1">
      <c r="A50" s="1956" t="e">
        <f>VLOOKUP(ROW()-ROW($A$5),TongHopKL!A:B,2,0)</f>
        <v>#N/A</v>
      </c>
      <c r="B50" s="1596">
        <f>SUM($O$6:O50)</f>
        <v>0</v>
      </c>
      <c r="C50" s="1597" t="e">
        <f>(VLOOKUP(A50,TongHopKL!B:F,5,0))</f>
        <v>#N/A</v>
      </c>
      <c r="D50" s="1598">
        <f>IFERROR(VLOOKUP(A50,DG!A:D,4,0),0)</f>
        <v>0</v>
      </c>
      <c r="E50" s="1599">
        <f>SUMIF(TongHopKL!B:B,'NT-VT'!A50,ThiCong)</f>
        <v>0</v>
      </c>
      <c r="F50" s="1596" t="str">
        <f>IFERROR(VLOOKUP(A50,Solieu!G:M,2,0),"")</f>
        <v/>
      </c>
      <c r="G50" s="1596" t="str">
        <f>IFERROR(VLOOKUP(A50,Solieu!G:M,3,0),"")</f>
        <v/>
      </c>
      <c r="H50" s="1596"/>
      <c r="I50" s="1600"/>
      <c r="J50" s="1601" t="str">
        <f>IFERROR(VLOOKUP(A50,Solieu!G:M,4,0),"")</f>
        <v/>
      </c>
      <c r="K50" s="1602" t="str">
        <f>IFERROR(VLOOKUP(A50,Solieu!G:M,5,0),"")</f>
        <v/>
      </c>
      <c r="L50" s="1774" t="str">
        <f>IFERROR(VLOOKUP(A50,Solieu!G:M,6,0),"")</f>
        <v/>
      </c>
      <c r="M50" s="1600" t="str">
        <f>IFERROR(VLOOKUP(A50,Solieu!G:M,7,0),"")</f>
        <v/>
      </c>
      <c r="N50" s="1194" t="s">
        <v>4186</v>
      </c>
      <c r="O50" s="1352" t="str">
        <f t="shared" si="0"/>
        <v/>
      </c>
      <c r="P50" s="1190"/>
      <c r="Q50" s="1311"/>
      <c r="R50" s="1353"/>
      <c r="S50" s="824"/>
      <c r="T50" s="824"/>
      <c r="U50" s="824"/>
      <c r="V50" s="824"/>
      <c r="W50" s="824"/>
      <c r="X50" s="824"/>
      <c r="Y50" s="824"/>
      <c r="Z50" s="824"/>
      <c r="AA50" s="824"/>
    </row>
    <row r="51" spans="1:27" s="825" customFormat="1" ht="34.950000000000003" customHeight="1">
      <c r="A51" s="1956" t="e">
        <f>VLOOKUP(ROW()-ROW($A$5),TongHopKL!A:B,2,0)</f>
        <v>#N/A</v>
      </c>
      <c r="B51" s="1596">
        <f>SUM($O$6:O51)</f>
        <v>0</v>
      </c>
      <c r="C51" s="1597" t="e">
        <f>(VLOOKUP(A51,TongHopKL!B:F,5,0))</f>
        <v>#N/A</v>
      </c>
      <c r="D51" s="1598">
        <f>IFERROR(VLOOKUP(A51,DG!A:D,4,0),0)</f>
        <v>0</v>
      </c>
      <c r="E51" s="1599">
        <f>SUMIF(TongHopKL!B:B,'NT-VT'!A51,ThiCong)</f>
        <v>0</v>
      </c>
      <c r="F51" s="1596" t="str">
        <f>IFERROR(VLOOKUP(A51,Solieu!G:M,2,0),"")</f>
        <v/>
      </c>
      <c r="G51" s="1596" t="str">
        <f>IFERROR(VLOOKUP(A51,Solieu!G:M,3,0),"")</f>
        <v/>
      </c>
      <c r="H51" s="1596"/>
      <c r="I51" s="1600"/>
      <c r="J51" s="1601" t="str">
        <f>IFERROR(VLOOKUP(A51,Solieu!G:M,4,0),"")</f>
        <v/>
      </c>
      <c r="K51" s="1602" t="str">
        <f>IFERROR(VLOOKUP(A51,Solieu!G:M,5,0),"")</f>
        <v/>
      </c>
      <c r="L51" s="1774" t="str">
        <f>IFERROR(VLOOKUP(A51,Solieu!G:M,6,0),"")</f>
        <v/>
      </c>
      <c r="M51" s="1600" t="str">
        <f>IFERROR(VLOOKUP(A51,Solieu!G:M,7,0),"")</f>
        <v/>
      </c>
      <c r="N51" s="1194" t="s">
        <v>4186</v>
      </c>
      <c r="O51" s="1352" t="str">
        <f t="shared" si="0"/>
        <v/>
      </c>
      <c r="P51" s="1190"/>
      <c r="Q51" s="1311"/>
      <c r="R51" s="1353"/>
      <c r="S51" s="824"/>
      <c r="T51" s="824"/>
      <c r="U51" s="824"/>
      <c r="V51" s="824"/>
      <c r="W51" s="824"/>
      <c r="X51" s="824"/>
      <c r="Y51" s="824"/>
      <c r="Z51" s="824"/>
      <c r="AA51" s="824"/>
    </row>
    <row r="52" spans="1:27" s="825" customFormat="1" ht="34.950000000000003" customHeight="1">
      <c r="A52" s="1956" t="e">
        <f>VLOOKUP(ROW()-ROW($A$5),TongHopKL!A:B,2,0)</f>
        <v>#N/A</v>
      </c>
      <c r="B52" s="1596">
        <f>SUM($O$6:O52)</f>
        <v>0</v>
      </c>
      <c r="C52" s="1597" t="e">
        <f>(VLOOKUP(A52,TongHopKL!B:F,5,0))</f>
        <v>#N/A</v>
      </c>
      <c r="D52" s="1598">
        <f>IFERROR(VLOOKUP(A52,DG!A:D,4,0),0)</f>
        <v>0</v>
      </c>
      <c r="E52" s="1599">
        <f>SUMIF(TongHopKL!B:B,'NT-VT'!A52,ThiCong)</f>
        <v>0</v>
      </c>
      <c r="F52" s="1596" t="str">
        <f>IFERROR(VLOOKUP(A52,Solieu!G:M,2,0),"")</f>
        <v/>
      </c>
      <c r="G52" s="1596" t="str">
        <f>IFERROR(VLOOKUP(A52,Solieu!G:M,3,0),"")</f>
        <v/>
      </c>
      <c r="H52" s="1596"/>
      <c r="I52" s="1600"/>
      <c r="J52" s="1601" t="str">
        <f>IFERROR(VLOOKUP(A52,Solieu!G:M,4,0),"")</f>
        <v/>
      </c>
      <c r="K52" s="1602" t="str">
        <f>IFERROR(VLOOKUP(A52,Solieu!G:M,5,0),"")</f>
        <v/>
      </c>
      <c r="L52" s="1774" t="str">
        <f>IFERROR(VLOOKUP(A52,Solieu!G:M,6,0),"")</f>
        <v/>
      </c>
      <c r="M52" s="1600" t="str">
        <f>IFERROR(VLOOKUP(A52,Solieu!G:M,7,0),"")</f>
        <v/>
      </c>
      <c r="N52" s="1194" t="s">
        <v>4186</v>
      </c>
      <c r="O52" s="1352" t="str">
        <f t="shared" si="0"/>
        <v/>
      </c>
      <c r="P52" s="1190"/>
      <c r="Q52" s="1311"/>
      <c r="R52" s="1353"/>
      <c r="S52" s="824"/>
      <c r="T52" s="824"/>
      <c r="U52" s="824"/>
      <c r="V52" s="824"/>
      <c r="W52" s="824"/>
      <c r="X52" s="824"/>
      <c r="Y52" s="824"/>
      <c r="Z52" s="824"/>
      <c r="AA52" s="824"/>
    </row>
    <row r="53" spans="1:27" s="825" customFormat="1" ht="34.950000000000003" customHeight="1">
      <c r="A53" s="1956" t="e">
        <f>VLOOKUP(ROW()-ROW($A$5),TongHopKL!A:B,2,0)</f>
        <v>#N/A</v>
      </c>
      <c r="B53" s="1596">
        <f>SUM($O$6:O53)</f>
        <v>0</v>
      </c>
      <c r="C53" s="1597" t="e">
        <f>(VLOOKUP(A53,TongHopKL!B:F,5,0))</f>
        <v>#N/A</v>
      </c>
      <c r="D53" s="1598">
        <f>IFERROR(VLOOKUP(A53,DG!A:D,4,0),0)</f>
        <v>0</v>
      </c>
      <c r="E53" s="1599">
        <f>SUMIF(TongHopKL!B:B,'NT-VT'!A53,ThiCong)</f>
        <v>0</v>
      </c>
      <c r="F53" s="1596" t="str">
        <f>IFERROR(VLOOKUP(A53,Solieu!G:M,2,0),"")</f>
        <v/>
      </c>
      <c r="G53" s="1596" t="str">
        <f>IFERROR(VLOOKUP(A53,Solieu!G:M,3,0),"")</f>
        <v/>
      </c>
      <c r="H53" s="1596"/>
      <c r="I53" s="1600"/>
      <c r="J53" s="1601" t="str">
        <f>IFERROR(VLOOKUP(A53,Solieu!G:M,4,0),"")</f>
        <v/>
      </c>
      <c r="K53" s="1602" t="str">
        <f>IFERROR(VLOOKUP(A53,Solieu!G:M,5,0),"")</f>
        <v/>
      </c>
      <c r="L53" s="1774" t="str">
        <f>IFERROR(VLOOKUP(A53,Solieu!G:M,6,0),"")</f>
        <v/>
      </c>
      <c r="M53" s="1600" t="str">
        <f>IFERROR(VLOOKUP(A53,Solieu!G:M,7,0),"")</f>
        <v/>
      </c>
      <c r="N53" s="1194" t="s">
        <v>4186</v>
      </c>
      <c r="O53" s="1352" t="str">
        <f t="shared" si="0"/>
        <v/>
      </c>
      <c r="P53" s="1190"/>
      <c r="Q53" s="1311"/>
      <c r="R53" s="1353"/>
      <c r="S53" s="824"/>
      <c r="T53" s="824"/>
      <c r="U53" s="824"/>
      <c r="V53" s="824"/>
      <c r="W53" s="824"/>
      <c r="X53" s="824"/>
      <c r="Y53" s="824"/>
      <c r="Z53" s="824"/>
      <c r="AA53" s="824"/>
    </row>
    <row r="54" spans="1:27" s="825" customFormat="1" ht="34.950000000000003" customHeight="1">
      <c r="A54" s="1956" t="e">
        <f>VLOOKUP(ROW()-ROW($A$5),TongHopKL!A:B,2,0)</f>
        <v>#N/A</v>
      </c>
      <c r="B54" s="1596">
        <f>SUM($O$6:O54)</f>
        <v>0</v>
      </c>
      <c r="C54" s="1597" t="e">
        <f>(VLOOKUP(A54,TongHopKL!B:F,5,0))</f>
        <v>#N/A</v>
      </c>
      <c r="D54" s="1598">
        <f>IFERROR(VLOOKUP(A54,DG!A:D,4,0),0)</f>
        <v>0</v>
      </c>
      <c r="E54" s="1599">
        <f>SUMIF(TongHopKL!B:B,'NT-VT'!A54,ThiCong)</f>
        <v>0</v>
      </c>
      <c r="F54" s="1596" t="str">
        <f>IFERROR(VLOOKUP(A54,Solieu!G:M,2,0),"")</f>
        <v/>
      </c>
      <c r="G54" s="1596" t="str">
        <f>IFERROR(VLOOKUP(A54,Solieu!G:M,3,0),"")</f>
        <v/>
      </c>
      <c r="H54" s="1596"/>
      <c r="I54" s="1600"/>
      <c r="J54" s="1601" t="str">
        <f>IFERROR(VLOOKUP(A54,Solieu!G:M,4,0),"")</f>
        <v/>
      </c>
      <c r="K54" s="1602" t="str">
        <f>IFERROR(VLOOKUP(A54,Solieu!G:M,5,0),"")</f>
        <v/>
      </c>
      <c r="L54" s="1774" t="str">
        <f>IFERROR(VLOOKUP(A54,Solieu!G:M,6,0),"")</f>
        <v/>
      </c>
      <c r="M54" s="1600" t="str">
        <f>IFERROR(VLOOKUP(A54,Solieu!G:M,7,0),"")</f>
        <v/>
      </c>
      <c r="N54" s="1194" t="s">
        <v>4186</v>
      </c>
      <c r="O54" s="1352" t="str">
        <f t="shared" si="0"/>
        <v/>
      </c>
      <c r="P54" s="1190"/>
      <c r="Q54" s="1311"/>
      <c r="R54" s="1353"/>
      <c r="S54" s="824"/>
      <c r="T54" s="824"/>
      <c r="U54" s="824"/>
      <c r="V54" s="824"/>
      <c r="W54" s="824"/>
      <c r="X54" s="824"/>
      <c r="Y54" s="824"/>
      <c r="Z54" s="824"/>
      <c r="AA54" s="824"/>
    </row>
    <row r="55" spans="1:27" s="825" customFormat="1" ht="34.950000000000003" customHeight="1">
      <c r="A55" s="1956" t="e">
        <f>VLOOKUP(ROW()-ROW($A$5),TongHopKL!A:B,2,0)</f>
        <v>#N/A</v>
      </c>
      <c r="B55" s="1596">
        <f>SUM($O$6:O55)</f>
        <v>0</v>
      </c>
      <c r="C55" s="1597" t="e">
        <f>(VLOOKUP(A55,TongHopKL!B:F,5,0))</f>
        <v>#N/A</v>
      </c>
      <c r="D55" s="1598">
        <f>IFERROR(VLOOKUP(A55,DG!A:D,4,0),0)</f>
        <v>0</v>
      </c>
      <c r="E55" s="1599">
        <f>SUMIF(TongHopKL!B:B,'NT-VT'!A55,ThiCong)</f>
        <v>0</v>
      </c>
      <c r="F55" s="1596" t="str">
        <f>IFERROR(VLOOKUP(A55,Solieu!G:M,2,0),"")</f>
        <v/>
      </c>
      <c r="G55" s="1596" t="str">
        <f>IFERROR(VLOOKUP(A55,Solieu!G:M,3,0),"")</f>
        <v/>
      </c>
      <c r="H55" s="1596"/>
      <c r="I55" s="1600"/>
      <c r="J55" s="1601" t="str">
        <f>IFERROR(VLOOKUP(A55,Solieu!G:M,4,0),"")</f>
        <v/>
      </c>
      <c r="K55" s="1602" t="str">
        <f>IFERROR(VLOOKUP(A55,Solieu!G:M,5,0),"")</f>
        <v/>
      </c>
      <c r="L55" s="1774" t="str">
        <f>IFERROR(VLOOKUP(A55,Solieu!G:M,6,0),"")</f>
        <v/>
      </c>
      <c r="M55" s="1600" t="str">
        <f>IFERROR(VLOOKUP(A55,Solieu!G:M,7,0),"")</f>
        <v/>
      </c>
      <c r="N55" s="1194" t="s">
        <v>4186</v>
      </c>
      <c r="O55" s="1352" t="str">
        <f t="shared" si="0"/>
        <v/>
      </c>
      <c r="P55" s="1190"/>
      <c r="Q55" s="1311"/>
      <c r="R55" s="1353"/>
      <c r="S55" s="824"/>
      <c r="T55" s="824"/>
      <c r="U55" s="824"/>
      <c r="V55" s="824"/>
      <c r="W55" s="824"/>
      <c r="X55" s="824"/>
      <c r="Y55" s="824"/>
      <c r="Z55" s="824"/>
      <c r="AA55" s="824"/>
    </row>
    <row r="56" spans="1:27" s="825" customFormat="1" ht="34.950000000000003" customHeight="1">
      <c r="A56" s="1956" t="e">
        <f>VLOOKUP(ROW()-ROW($A$5),TongHopKL!A:B,2,0)</f>
        <v>#N/A</v>
      </c>
      <c r="B56" s="1596">
        <f>SUM($O$6:O56)</f>
        <v>0</v>
      </c>
      <c r="C56" s="1597" t="e">
        <f>(VLOOKUP(A56,TongHopKL!B:F,5,0))</f>
        <v>#N/A</v>
      </c>
      <c r="D56" s="1598">
        <f>IFERROR(VLOOKUP(A56,DG!A:D,4,0),0)</f>
        <v>0</v>
      </c>
      <c r="E56" s="1599">
        <f>SUMIF(TongHopKL!B:B,'NT-VT'!A56,ThiCong)</f>
        <v>0</v>
      </c>
      <c r="F56" s="1596" t="str">
        <f>IFERROR(VLOOKUP(A56,Solieu!G:M,2,0),"")</f>
        <v/>
      </c>
      <c r="G56" s="1596" t="str">
        <f>IFERROR(VLOOKUP(A56,Solieu!G:M,3,0),"")</f>
        <v/>
      </c>
      <c r="H56" s="1596"/>
      <c r="I56" s="1600"/>
      <c r="J56" s="1601" t="str">
        <f>IFERROR(VLOOKUP(A56,Solieu!G:M,4,0),"")</f>
        <v/>
      </c>
      <c r="K56" s="1602" t="str">
        <f>IFERROR(VLOOKUP(A56,Solieu!G:M,5,0),"")</f>
        <v/>
      </c>
      <c r="L56" s="1774" t="str">
        <f>IFERROR(VLOOKUP(A56,Solieu!G:M,6,0),"")</f>
        <v/>
      </c>
      <c r="M56" s="1600" t="str">
        <f>IFERROR(VLOOKUP(A56,Solieu!G:M,7,0),"")</f>
        <v/>
      </c>
      <c r="N56" s="1194" t="s">
        <v>4186</v>
      </c>
      <c r="O56" s="1352" t="str">
        <f t="shared" si="0"/>
        <v/>
      </c>
      <c r="P56" s="1190"/>
      <c r="Q56" s="1311"/>
      <c r="R56" s="1353"/>
      <c r="S56" s="824"/>
      <c r="T56" s="824"/>
      <c r="U56" s="824"/>
      <c r="V56" s="824"/>
      <c r="W56" s="824"/>
      <c r="X56" s="824"/>
      <c r="Y56" s="824"/>
      <c r="Z56" s="824"/>
      <c r="AA56" s="824"/>
    </row>
    <row r="57" spans="1:27" s="825" customFormat="1" ht="34.950000000000003" customHeight="1">
      <c r="A57" s="1956" t="e">
        <f>VLOOKUP(ROW()-ROW($A$5),TongHopKL!A:B,2,0)</f>
        <v>#N/A</v>
      </c>
      <c r="B57" s="1596">
        <f>SUM($O$6:O57)</f>
        <v>0</v>
      </c>
      <c r="C57" s="1597" t="e">
        <f>(VLOOKUP(A57,TongHopKL!B:F,5,0))</f>
        <v>#N/A</v>
      </c>
      <c r="D57" s="1598">
        <f>IFERROR(VLOOKUP(A57,DG!A:D,4,0),0)</f>
        <v>0</v>
      </c>
      <c r="E57" s="1599">
        <f>SUMIF(TongHopKL!B:B,'NT-VT'!A57,ThiCong)</f>
        <v>0</v>
      </c>
      <c r="F57" s="1596" t="str">
        <f>IFERROR(VLOOKUP(A57,Solieu!G:M,2,0),"")</f>
        <v/>
      </c>
      <c r="G57" s="1596" t="str">
        <f>IFERROR(VLOOKUP(A57,Solieu!G:M,3,0),"")</f>
        <v/>
      </c>
      <c r="H57" s="1596"/>
      <c r="I57" s="1600"/>
      <c r="J57" s="1601" t="str">
        <f>IFERROR(VLOOKUP(A57,Solieu!G:M,4,0),"")</f>
        <v/>
      </c>
      <c r="K57" s="1602" t="str">
        <f>IFERROR(VLOOKUP(A57,Solieu!G:M,5,0),"")</f>
        <v/>
      </c>
      <c r="L57" s="1774" t="str">
        <f>IFERROR(VLOOKUP(A57,Solieu!G:M,6,0),"")</f>
        <v/>
      </c>
      <c r="M57" s="1600" t="str">
        <f>IFERROR(VLOOKUP(A57,Solieu!G:M,7,0),"")</f>
        <v/>
      </c>
      <c r="N57" s="1194" t="s">
        <v>4186</v>
      </c>
      <c r="O57" s="1352" t="str">
        <f t="shared" si="0"/>
        <v/>
      </c>
      <c r="P57" s="1190"/>
      <c r="Q57" s="1311"/>
      <c r="R57" s="1353"/>
      <c r="S57" s="824"/>
      <c r="T57" s="824"/>
      <c r="U57" s="824"/>
      <c r="V57" s="824"/>
      <c r="W57" s="824"/>
      <c r="X57" s="824"/>
      <c r="Y57" s="824"/>
      <c r="Z57" s="824"/>
      <c r="AA57" s="824"/>
    </row>
    <row r="58" spans="1:27" s="825" customFormat="1" ht="34.950000000000003" customHeight="1">
      <c r="A58" s="1956" t="e">
        <f>VLOOKUP(ROW()-ROW($A$5),TongHopKL!A:B,2,0)</f>
        <v>#N/A</v>
      </c>
      <c r="B58" s="1596">
        <f>SUM($O$6:O58)</f>
        <v>0</v>
      </c>
      <c r="C58" s="1597" t="e">
        <f>(VLOOKUP(A58,TongHopKL!B:F,5,0))</f>
        <v>#N/A</v>
      </c>
      <c r="D58" s="1598">
        <f>IFERROR(VLOOKUP(A58,DG!A:D,4,0),0)</f>
        <v>0</v>
      </c>
      <c r="E58" s="1599">
        <f>SUMIF(TongHopKL!B:B,'NT-VT'!A58,ThiCong)</f>
        <v>0</v>
      </c>
      <c r="F58" s="1596" t="str">
        <f>IFERROR(VLOOKUP(A58,Solieu!G:M,2,0),"")</f>
        <v/>
      </c>
      <c r="G58" s="1596" t="str">
        <f>IFERROR(VLOOKUP(A58,Solieu!G:M,3,0),"")</f>
        <v/>
      </c>
      <c r="H58" s="1596"/>
      <c r="I58" s="1600"/>
      <c r="J58" s="1601" t="str">
        <f>IFERROR(VLOOKUP(A58,Solieu!G:M,4,0),"")</f>
        <v/>
      </c>
      <c r="K58" s="1602" t="str">
        <f>IFERROR(VLOOKUP(A58,Solieu!G:M,5,0),"")</f>
        <v/>
      </c>
      <c r="L58" s="1774" t="str">
        <f>IFERROR(VLOOKUP(A58,Solieu!G:M,6,0),"")</f>
        <v/>
      </c>
      <c r="M58" s="1600" t="str">
        <f>IFERROR(VLOOKUP(A58,Solieu!G:M,7,0),"")</f>
        <v/>
      </c>
      <c r="N58" s="1194" t="s">
        <v>4186</v>
      </c>
      <c r="O58" s="1352" t="str">
        <f t="shared" si="0"/>
        <v/>
      </c>
      <c r="P58" s="1190"/>
      <c r="Q58" s="1311"/>
      <c r="R58" s="1353"/>
      <c r="S58" s="824"/>
      <c r="T58" s="824"/>
      <c r="U58" s="824"/>
      <c r="V58" s="824"/>
      <c r="W58" s="824"/>
      <c r="X58" s="824"/>
      <c r="Y58" s="824"/>
      <c r="Z58" s="824"/>
      <c r="AA58" s="824"/>
    </row>
    <row r="59" spans="1:27" s="825" customFormat="1" ht="34.950000000000003" customHeight="1">
      <c r="A59" s="1956" t="e">
        <f>VLOOKUP(ROW()-ROW($A$5),TongHopKL!A:B,2,0)</f>
        <v>#N/A</v>
      </c>
      <c r="B59" s="1596">
        <f>SUM($O$6:O59)</f>
        <v>0</v>
      </c>
      <c r="C59" s="1597" t="e">
        <f>(VLOOKUP(A59,TongHopKL!B:F,5,0))</f>
        <v>#N/A</v>
      </c>
      <c r="D59" s="1598">
        <f>IFERROR(VLOOKUP(A59,DG!A:D,4,0),0)</f>
        <v>0</v>
      </c>
      <c r="E59" s="1599">
        <f>SUMIF(TongHopKL!B:B,'NT-VT'!A59,ThiCong)</f>
        <v>0</v>
      </c>
      <c r="F59" s="1596" t="str">
        <f>IFERROR(VLOOKUP(A59,Solieu!G:M,2,0),"")</f>
        <v/>
      </c>
      <c r="G59" s="1596" t="str">
        <f>IFERROR(VLOOKUP(A59,Solieu!G:M,3,0),"")</f>
        <v/>
      </c>
      <c r="H59" s="1596"/>
      <c r="I59" s="1600"/>
      <c r="J59" s="1601" t="str">
        <f>IFERROR(VLOOKUP(A59,Solieu!G:M,4,0),"")</f>
        <v/>
      </c>
      <c r="K59" s="1602" t="str">
        <f>IFERROR(VLOOKUP(A59,Solieu!G:M,5,0),"")</f>
        <v/>
      </c>
      <c r="L59" s="1774" t="str">
        <f>IFERROR(VLOOKUP(A59,Solieu!G:M,6,0),"")</f>
        <v/>
      </c>
      <c r="M59" s="1600" t="str">
        <f>IFERROR(VLOOKUP(A59,Solieu!G:M,7,0),"")</f>
        <v/>
      </c>
      <c r="N59" s="1194" t="s">
        <v>4186</v>
      </c>
      <c r="O59" s="1352" t="str">
        <f t="shared" si="0"/>
        <v/>
      </c>
      <c r="P59" s="1190"/>
      <c r="Q59" s="1311"/>
      <c r="R59" s="1353"/>
      <c r="S59" s="824"/>
      <c r="T59" s="824"/>
      <c r="U59" s="824"/>
      <c r="V59" s="824"/>
      <c r="W59" s="824"/>
      <c r="X59" s="824"/>
      <c r="Y59" s="824"/>
      <c r="Z59" s="824"/>
      <c r="AA59" s="824"/>
    </row>
    <row r="60" spans="1:27" s="825" customFormat="1" ht="34.950000000000003" customHeight="1">
      <c r="A60" s="1956" t="e">
        <f>VLOOKUP(ROW()-ROW($A$5),TongHopKL!A:B,2,0)</f>
        <v>#N/A</v>
      </c>
      <c r="B60" s="1596">
        <f>SUM($O$6:O60)</f>
        <v>0</v>
      </c>
      <c r="C60" s="1597" t="e">
        <f>(VLOOKUP(A60,TongHopKL!B:F,5,0))</f>
        <v>#N/A</v>
      </c>
      <c r="D60" s="1598">
        <f>IFERROR(VLOOKUP(A60,DG!A:D,4,0),0)</f>
        <v>0</v>
      </c>
      <c r="E60" s="1599">
        <f>SUMIF(TongHopKL!B:B,'NT-VT'!A60,ThiCong)</f>
        <v>0</v>
      </c>
      <c r="F60" s="1596" t="str">
        <f>IFERROR(VLOOKUP(A60,Solieu!G:M,2,0),"")</f>
        <v/>
      </c>
      <c r="G60" s="1596" t="str">
        <f>IFERROR(VLOOKUP(A60,Solieu!G:M,3,0),"")</f>
        <v/>
      </c>
      <c r="H60" s="1596"/>
      <c r="I60" s="1600"/>
      <c r="J60" s="1601" t="str">
        <f>IFERROR(VLOOKUP(A60,Solieu!G:M,4,0),"")</f>
        <v/>
      </c>
      <c r="K60" s="1602" t="str">
        <f>IFERROR(VLOOKUP(A60,Solieu!G:M,5,0),"")</f>
        <v/>
      </c>
      <c r="L60" s="1774" t="str">
        <f>IFERROR(VLOOKUP(A60,Solieu!G:M,6,0),"")</f>
        <v/>
      </c>
      <c r="M60" s="1600" t="str">
        <f>IFERROR(VLOOKUP(A60,Solieu!G:M,7,0),"")</f>
        <v/>
      </c>
      <c r="N60" s="1194" t="s">
        <v>4186</v>
      </c>
      <c r="O60" s="1352" t="str">
        <f t="shared" si="0"/>
        <v/>
      </c>
      <c r="P60" s="1190"/>
      <c r="Q60" s="1311"/>
      <c r="R60" s="1353"/>
      <c r="S60" s="824"/>
      <c r="T60" s="824"/>
      <c r="U60" s="824"/>
      <c r="V60" s="824"/>
      <c r="W60" s="824"/>
      <c r="X60" s="824"/>
      <c r="Y60" s="824"/>
      <c r="Z60" s="824"/>
      <c r="AA60" s="824"/>
    </row>
    <row r="61" spans="1:27" s="825" customFormat="1" ht="34.950000000000003" customHeight="1">
      <c r="A61" s="1956" t="e">
        <f>VLOOKUP(ROW()-ROW($A$5),TongHopKL!A:B,2,0)</f>
        <v>#N/A</v>
      </c>
      <c r="B61" s="1596">
        <f>SUM($O$6:O61)</f>
        <v>0</v>
      </c>
      <c r="C61" s="1597" t="e">
        <f>(VLOOKUP(A61,TongHopKL!B:F,5,0))</f>
        <v>#N/A</v>
      </c>
      <c r="D61" s="1598">
        <f>IFERROR(VLOOKUP(A61,DG!A:D,4,0),0)</f>
        <v>0</v>
      </c>
      <c r="E61" s="1599">
        <f>SUMIF(TongHopKL!B:B,'NT-VT'!A61,ThiCong)</f>
        <v>0</v>
      </c>
      <c r="F61" s="1596" t="str">
        <f>IFERROR(VLOOKUP(A61,Solieu!G:M,2,0),"")</f>
        <v/>
      </c>
      <c r="G61" s="1596" t="str">
        <f>IFERROR(VLOOKUP(A61,Solieu!G:M,3,0),"")</f>
        <v/>
      </c>
      <c r="H61" s="1596"/>
      <c r="I61" s="1600"/>
      <c r="J61" s="1601" t="str">
        <f>IFERROR(VLOOKUP(A61,Solieu!G:M,4,0),"")</f>
        <v/>
      </c>
      <c r="K61" s="1602" t="str">
        <f>IFERROR(VLOOKUP(A61,Solieu!G:M,5,0),"")</f>
        <v/>
      </c>
      <c r="L61" s="1774" t="str">
        <f>IFERROR(VLOOKUP(A61,Solieu!G:M,6,0),"")</f>
        <v/>
      </c>
      <c r="M61" s="1600" t="str">
        <f>IFERROR(VLOOKUP(A61,Solieu!G:M,7,0),"")</f>
        <v/>
      </c>
      <c r="N61" s="1194" t="s">
        <v>4186</v>
      </c>
      <c r="O61" s="1352" t="str">
        <f t="shared" si="0"/>
        <v/>
      </c>
      <c r="P61" s="1190"/>
      <c r="Q61" s="1311"/>
      <c r="R61" s="1353"/>
      <c r="S61" s="824"/>
      <c r="T61" s="824"/>
      <c r="U61" s="824"/>
      <c r="V61" s="824"/>
      <c r="W61" s="824"/>
      <c r="X61" s="824"/>
      <c r="Y61" s="824"/>
      <c r="Z61" s="824"/>
      <c r="AA61" s="824"/>
    </row>
    <row r="62" spans="1:27" s="825" customFormat="1" ht="34.950000000000003" customHeight="1">
      <c r="A62" s="1956" t="e">
        <f>VLOOKUP(ROW()-ROW($A$5),TongHopKL!A:B,2,0)</f>
        <v>#N/A</v>
      </c>
      <c r="B62" s="1596">
        <f>SUM($O$6:O62)</f>
        <v>0</v>
      </c>
      <c r="C62" s="1597" t="e">
        <f>(VLOOKUP(A62,TongHopKL!B:F,5,0))</f>
        <v>#N/A</v>
      </c>
      <c r="D62" s="1598">
        <f>IFERROR(VLOOKUP(A62,DG!A:D,4,0),0)</f>
        <v>0</v>
      </c>
      <c r="E62" s="1599">
        <f>SUMIF(TongHopKL!B:B,'NT-VT'!A62,ThiCong)</f>
        <v>0</v>
      </c>
      <c r="F62" s="1596" t="str">
        <f>IFERROR(VLOOKUP(A62,Solieu!G:M,2,0),"")</f>
        <v/>
      </c>
      <c r="G62" s="1596" t="str">
        <f>IFERROR(VLOOKUP(A62,Solieu!G:M,3,0),"")</f>
        <v/>
      </c>
      <c r="H62" s="1596"/>
      <c r="I62" s="1600"/>
      <c r="J62" s="1601" t="str">
        <f>IFERROR(VLOOKUP(A62,Solieu!G:M,4,0),"")</f>
        <v/>
      </c>
      <c r="K62" s="1602" t="str">
        <f>IFERROR(VLOOKUP(A62,Solieu!G:M,5,0),"")</f>
        <v/>
      </c>
      <c r="L62" s="1774" t="str">
        <f>IFERROR(VLOOKUP(A62,Solieu!G:M,6,0),"")</f>
        <v/>
      </c>
      <c r="M62" s="1600" t="str">
        <f>IFERROR(VLOOKUP(A62,Solieu!G:M,7,0),"")</f>
        <v/>
      </c>
      <c r="N62" s="1194" t="s">
        <v>4186</v>
      </c>
      <c r="O62" s="1352" t="str">
        <f t="shared" si="0"/>
        <v/>
      </c>
      <c r="P62" s="1190"/>
      <c r="Q62" s="1311"/>
      <c r="R62" s="1353"/>
      <c r="S62" s="824"/>
      <c r="T62" s="824"/>
      <c r="U62" s="824"/>
      <c r="V62" s="824"/>
      <c r="W62" s="824"/>
      <c r="X62" s="824"/>
      <c r="Y62" s="824"/>
      <c r="Z62" s="824"/>
      <c r="AA62" s="824"/>
    </row>
    <row r="63" spans="1:27" s="825" customFormat="1" ht="34.950000000000003" customHeight="1">
      <c r="A63" s="1956" t="e">
        <f>VLOOKUP(ROW()-ROW($A$5),TongHopKL!A:B,2,0)</f>
        <v>#N/A</v>
      </c>
      <c r="B63" s="1596">
        <f>SUM($O$6:O63)</f>
        <v>0</v>
      </c>
      <c r="C63" s="1597" t="e">
        <f>(VLOOKUP(A63,TongHopKL!B:F,5,0))</f>
        <v>#N/A</v>
      </c>
      <c r="D63" s="1598">
        <f>IFERROR(VLOOKUP(A63,DG!A:D,4,0),0)</f>
        <v>0</v>
      </c>
      <c r="E63" s="1599">
        <f>SUMIF(TongHopKL!B:B,'NT-VT'!A63,ThiCong)</f>
        <v>0</v>
      </c>
      <c r="F63" s="1596" t="str">
        <f>IFERROR(VLOOKUP(A63,Solieu!G:M,2,0),"")</f>
        <v/>
      </c>
      <c r="G63" s="1596" t="str">
        <f>IFERROR(VLOOKUP(A63,Solieu!G:M,3,0),"")</f>
        <v/>
      </c>
      <c r="H63" s="1596"/>
      <c r="I63" s="1600"/>
      <c r="J63" s="1601" t="str">
        <f>IFERROR(VLOOKUP(A63,Solieu!G:M,4,0),"")</f>
        <v/>
      </c>
      <c r="K63" s="1602" t="str">
        <f>IFERROR(VLOOKUP(A63,Solieu!G:M,5,0),"")</f>
        <v/>
      </c>
      <c r="L63" s="1774" t="str">
        <f>IFERROR(VLOOKUP(A63,Solieu!G:M,6,0),"")</f>
        <v/>
      </c>
      <c r="M63" s="1600" t="str">
        <f>IFERROR(VLOOKUP(A63,Solieu!G:M,7,0),"")</f>
        <v/>
      </c>
      <c r="N63" s="1194" t="s">
        <v>4186</v>
      </c>
      <c r="O63" s="1352" t="str">
        <f t="shared" si="0"/>
        <v/>
      </c>
      <c r="P63" s="1190"/>
      <c r="Q63" s="1311"/>
      <c r="R63" s="1353"/>
      <c r="S63" s="824"/>
      <c r="T63" s="824"/>
      <c r="U63" s="824"/>
      <c r="V63" s="824"/>
      <c r="W63" s="824"/>
      <c r="X63" s="824"/>
      <c r="Y63" s="824"/>
      <c r="Z63" s="824"/>
      <c r="AA63" s="824"/>
    </row>
    <row r="64" spans="1:27" s="825" customFormat="1" ht="34.950000000000003" customHeight="1">
      <c r="A64" s="1956" t="e">
        <f>VLOOKUP(ROW()-ROW($A$5),TongHopKL!A:B,2,0)</f>
        <v>#N/A</v>
      </c>
      <c r="B64" s="1596">
        <f>SUM($O$6:O64)</f>
        <v>0</v>
      </c>
      <c r="C64" s="1597" t="e">
        <f>(VLOOKUP(A64,TongHopKL!B:F,5,0))</f>
        <v>#N/A</v>
      </c>
      <c r="D64" s="1598">
        <f>IFERROR(VLOOKUP(A64,DG!A:D,4,0),0)</f>
        <v>0</v>
      </c>
      <c r="E64" s="1599">
        <f>SUMIF(TongHopKL!B:B,'NT-VT'!A64,ThiCong)</f>
        <v>0</v>
      </c>
      <c r="F64" s="1596" t="str">
        <f>IFERROR(VLOOKUP(A64,Solieu!G:M,2,0),"")</f>
        <v/>
      </c>
      <c r="G64" s="1596" t="str">
        <f>IFERROR(VLOOKUP(A64,Solieu!G:M,3,0),"")</f>
        <v/>
      </c>
      <c r="H64" s="1596"/>
      <c r="I64" s="1600"/>
      <c r="J64" s="1601" t="str">
        <f>IFERROR(VLOOKUP(A64,Solieu!G:M,4,0),"")</f>
        <v/>
      </c>
      <c r="K64" s="1602" t="str">
        <f>IFERROR(VLOOKUP(A64,Solieu!G:M,5,0),"")</f>
        <v/>
      </c>
      <c r="L64" s="1774" t="str">
        <f>IFERROR(VLOOKUP(A64,Solieu!G:M,6,0),"")</f>
        <v/>
      </c>
      <c r="M64" s="1600" t="str">
        <f>IFERROR(VLOOKUP(A64,Solieu!G:M,7,0),"")</f>
        <v/>
      </c>
      <c r="N64" s="1194" t="s">
        <v>4186</v>
      </c>
      <c r="O64" s="1352" t="str">
        <f t="shared" si="0"/>
        <v/>
      </c>
      <c r="P64" s="1190"/>
      <c r="Q64" s="1311"/>
      <c r="R64" s="1353"/>
      <c r="S64" s="824"/>
      <c r="T64" s="824"/>
      <c r="U64" s="824"/>
      <c r="V64" s="824"/>
      <c r="W64" s="824"/>
      <c r="X64" s="824"/>
      <c r="Y64" s="824"/>
      <c r="Z64" s="824"/>
      <c r="AA64" s="824"/>
    </row>
    <row r="65" spans="1:27" s="825" customFormat="1" ht="34.950000000000003" customHeight="1">
      <c r="A65" s="1956" t="e">
        <f>VLOOKUP(ROW()-ROW($A$5),TongHopKL!A:B,2,0)</f>
        <v>#N/A</v>
      </c>
      <c r="B65" s="1596">
        <f>SUM($O$6:O65)</f>
        <v>0</v>
      </c>
      <c r="C65" s="1597" t="e">
        <f>(VLOOKUP(A65,TongHopKL!B:F,5,0))</f>
        <v>#N/A</v>
      </c>
      <c r="D65" s="1598">
        <f>IFERROR(VLOOKUP(A65,DG!A:D,4,0),0)</f>
        <v>0</v>
      </c>
      <c r="E65" s="1599">
        <f>SUMIF(TongHopKL!B:B,'NT-VT'!A65,ThiCong)</f>
        <v>0</v>
      </c>
      <c r="F65" s="1596" t="str">
        <f>IFERROR(VLOOKUP(A65,Solieu!G:M,2,0),"")</f>
        <v/>
      </c>
      <c r="G65" s="1596" t="str">
        <f>IFERROR(VLOOKUP(A65,Solieu!G:M,3,0),"")</f>
        <v/>
      </c>
      <c r="H65" s="1596"/>
      <c r="I65" s="1600"/>
      <c r="J65" s="1601" t="str">
        <f>IFERROR(VLOOKUP(A65,Solieu!G:M,4,0),"")</f>
        <v/>
      </c>
      <c r="K65" s="1602" t="str">
        <f>IFERROR(VLOOKUP(A65,Solieu!G:M,5,0),"")</f>
        <v/>
      </c>
      <c r="L65" s="1774" t="str">
        <f>IFERROR(VLOOKUP(A65,Solieu!G:M,6,0),"")</f>
        <v/>
      </c>
      <c r="M65" s="1600" t="str">
        <f>IFERROR(VLOOKUP(A65,Solieu!G:M,7,0),"")</f>
        <v/>
      </c>
      <c r="N65" s="1194" t="s">
        <v>4186</v>
      </c>
      <c r="O65" s="1352" t="str">
        <f t="shared" si="0"/>
        <v/>
      </c>
      <c r="P65" s="1190"/>
      <c r="Q65" s="1311"/>
      <c r="R65" s="1353"/>
      <c r="S65" s="824"/>
      <c r="T65" s="824"/>
      <c r="U65" s="824"/>
      <c r="V65" s="824"/>
      <c r="W65" s="824"/>
      <c r="X65" s="824"/>
      <c r="Y65" s="824"/>
      <c r="Z65" s="824"/>
      <c r="AA65" s="824"/>
    </row>
    <row r="66" spans="1:27" s="825" customFormat="1" ht="34.950000000000003" customHeight="1">
      <c r="A66" s="1956" t="e">
        <f>VLOOKUP(ROW()-ROW($A$5),TongHopKL!A:B,2,0)</f>
        <v>#N/A</v>
      </c>
      <c r="B66" s="1596">
        <f>SUM($O$6:O66)</f>
        <v>0</v>
      </c>
      <c r="C66" s="1597" t="e">
        <f>(VLOOKUP(A66,TongHopKL!B:F,5,0))</f>
        <v>#N/A</v>
      </c>
      <c r="D66" s="1598">
        <f>IFERROR(VLOOKUP(A66,DG!A:D,4,0),0)</f>
        <v>0</v>
      </c>
      <c r="E66" s="1599">
        <f>SUMIF(TongHopKL!B:B,'NT-VT'!A66,ThiCong)</f>
        <v>0</v>
      </c>
      <c r="F66" s="1596" t="str">
        <f>IFERROR(VLOOKUP(A66,Solieu!G:M,2,0),"")</f>
        <v/>
      </c>
      <c r="G66" s="1596" t="str">
        <f>IFERROR(VLOOKUP(A66,Solieu!G:M,3,0),"")</f>
        <v/>
      </c>
      <c r="H66" s="1596"/>
      <c r="I66" s="1600"/>
      <c r="J66" s="1601" t="str">
        <f>IFERROR(VLOOKUP(A66,Solieu!G:M,4,0),"")</f>
        <v/>
      </c>
      <c r="K66" s="1602" t="str">
        <f>IFERROR(VLOOKUP(A66,Solieu!G:M,5,0),"")</f>
        <v/>
      </c>
      <c r="L66" s="1774" t="str">
        <f>IFERROR(VLOOKUP(A66,Solieu!G:M,6,0),"")</f>
        <v/>
      </c>
      <c r="M66" s="1600" t="str">
        <f>IFERROR(VLOOKUP(A66,Solieu!G:M,7,0),"")</f>
        <v/>
      </c>
      <c r="N66" s="1194" t="s">
        <v>4186</v>
      </c>
      <c r="O66" s="1352" t="str">
        <f t="shared" si="0"/>
        <v/>
      </c>
      <c r="P66" s="1190"/>
      <c r="Q66" s="1311"/>
      <c r="R66" s="1353"/>
      <c r="S66" s="824"/>
      <c r="T66" s="824"/>
      <c r="U66" s="824"/>
      <c r="V66" s="824"/>
      <c r="W66" s="824"/>
      <c r="X66" s="824"/>
      <c r="Y66" s="824"/>
      <c r="Z66" s="824"/>
      <c r="AA66" s="824"/>
    </row>
    <row r="67" spans="1:27" s="825" customFormat="1" ht="34.950000000000003" customHeight="1">
      <c r="A67" s="1956" t="e">
        <f>VLOOKUP(ROW()-ROW($A$5),TongHopKL!A:B,2,0)</f>
        <v>#N/A</v>
      </c>
      <c r="B67" s="1596">
        <f>SUM($O$6:O67)</f>
        <v>0</v>
      </c>
      <c r="C67" s="1597" t="e">
        <f>(VLOOKUP(A67,TongHopKL!B:F,5,0))</f>
        <v>#N/A</v>
      </c>
      <c r="D67" s="1598">
        <f>IFERROR(VLOOKUP(A67,DG!A:D,4,0),0)</f>
        <v>0</v>
      </c>
      <c r="E67" s="1599">
        <f>SUMIF(TongHopKL!B:B,'NT-VT'!A67,ThiCong)</f>
        <v>0</v>
      </c>
      <c r="F67" s="1596" t="str">
        <f>IFERROR(VLOOKUP(A67,Solieu!G:M,2,0),"")</f>
        <v/>
      </c>
      <c r="G67" s="1596" t="str">
        <f>IFERROR(VLOOKUP(A67,Solieu!G:M,3,0),"")</f>
        <v/>
      </c>
      <c r="H67" s="1596"/>
      <c r="I67" s="1600"/>
      <c r="J67" s="1601" t="str">
        <f>IFERROR(VLOOKUP(A67,Solieu!G:M,4,0),"")</f>
        <v/>
      </c>
      <c r="K67" s="1602" t="str">
        <f>IFERROR(VLOOKUP(A67,Solieu!G:M,5,0),"")</f>
        <v/>
      </c>
      <c r="L67" s="1774" t="str">
        <f>IFERROR(VLOOKUP(A67,Solieu!G:M,6,0),"")</f>
        <v/>
      </c>
      <c r="M67" s="1600" t="str">
        <f>IFERROR(VLOOKUP(A67,Solieu!G:M,7,0),"")</f>
        <v/>
      </c>
      <c r="N67" s="1194" t="s">
        <v>4186</v>
      </c>
      <c r="O67" s="1352" t="str">
        <f t="shared" si="0"/>
        <v/>
      </c>
      <c r="P67" s="1190"/>
      <c r="Q67" s="1311"/>
      <c r="R67" s="1353"/>
      <c r="S67" s="824"/>
      <c r="T67" s="824"/>
      <c r="U67" s="824"/>
      <c r="V67" s="824"/>
      <c r="W67" s="824"/>
      <c r="X67" s="824"/>
      <c r="Y67" s="824"/>
      <c r="Z67" s="824"/>
      <c r="AA67" s="824"/>
    </row>
    <row r="68" spans="1:27" s="825" customFormat="1" ht="34.950000000000003" customHeight="1">
      <c r="A68" s="1956" t="e">
        <f>VLOOKUP(ROW()-ROW($A$5),TongHopKL!A:B,2,0)</f>
        <v>#N/A</v>
      </c>
      <c r="B68" s="1596">
        <f>SUM($O$6:O68)</f>
        <v>0</v>
      </c>
      <c r="C68" s="1597" t="e">
        <f>(VLOOKUP(A68,TongHopKL!B:F,5,0))</f>
        <v>#N/A</v>
      </c>
      <c r="D68" s="1598">
        <f>IFERROR(VLOOKUP(A68,DG!A:D,4,0),0)</f>
        <v>0</v>
      </c>
      <c r="E68" s="1599">
        <f>SUMIF(TongHopKL!B:B,'NT-VT'!A68,ThiCong)</f>
        <v>0</v>
      </c>
      <c r="F68" s="1596" t="str">
        <f>IFERROR(VLOOKUP(A68,Solieu!G:M,2,0),"")</f>
        <v/>
      </c>
      <c r="G68" s="1596" t="str">
        <f>IFERROR(VLOOKUP(A68,Solieu!G:M,3,0),"")</f>
        <v/>
      </c>
      <c r="H68" s="1596"/>
      <c r="I68" s="1600"/>
      <c r="J68" s="1601" t="str">
        <f>IFERROR(VLOOKUP(A68,Solieu!G:M,4,0),"")</f>
        <v/>
      </c>
      <c r="K68" s="1602" t="str">
        <f>IFERROR(VLOOKUP(A68,Solieu!G:M,5,0),"")</f>
        <v/>
      </c>
      <c r="L68" s="1774" t="str">
        <f>IFERROR(VLOOKUP(A68,Solieu!G:M,6,0),"")</f>
        <v/>
      </c>
      <c r="M68" s="1600" t="str">
        <f>IFERROR(VLOOKUP(A68,Solieu!G:M,7,0),"")</f>
        <v/>
      </c>
      <c r="N68" s="1194" t="s">
        <v>4186</v>
      </c>
      <c r="O68" s="1352" t="str">
        <f t="shared" si="0"/>
        <v/>
      </c>
      <c r="P68" s="1190"/>
      <c r="Q68" s="1311"/>
      <c r="R68" s="1353"/>
      <c r="S68" s="824"/>
      <c r="T68" s="824"/>
      <c r="U68" s="824"/>
      <c r="V68" s="824"/>
      <c r="W68" s="824"/>
      <c r="X68" s="824"/>
      <c r="Y68" s="824"/>
      <c r="Z68" s="824"/>
      <c r="AA68" s="824"/>
    </row>
    <row r="69" spans="1:27" s="825" customFormat="1" ht="34.950000000000003" hidden="1" customHeight="1">
      <c r="A69" s="1956" t="e">
        <f>VLOOKUP(ROW()-ROW($A$5),TongHopKL!A:B,2,0)</f>
        <v>#N/A</v>
      </c>
      <c r="B69" s="1596">
        <f>SUM($O$6:O69)</f>
        <v>0</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50000000000003" hidden="1" customHeight="1">
      <c r="A70" s="1956" t="e">
        <f>VLOOKUP(ROW()-ROW($A$5),TongHopKL!A:B,2,0)</f>
        <v>#N/A</v>
      </c>
      <c r="B70" s="1596">
        <f>SUM($O$6:O70)</f>
        <v>0</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50000000000003" hidden="1" customHeight="1">
      <c r="A71" s="1956" t="e">
        <f>VLOOKUP(ROW()-ROW($A$5),TongHopKL!A:B,2,0)</f>
        <v>#N/A</v>
      </c>
      <c r="B71" s="1596">
        <f>SUM($O$6:O71)</f>
        <v>0</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50000000000003" hidden="1" customHeight="1">
      <c r="A72" s="1956" t="e">
        <f>VLOOKUP(ROW()-ROW($A$5),TongHopKL!A:B,2,0)</f>
        <v>#N/A</v>
      </c>
      <c r="B72" s="1596">
        <f>SUM($O$6:O72)</f>
        <v>0</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50000000000003" hidden="1" customHeight="1">
      <c r="A73" s="1956" t="e">
        <f>VLOOKUP(ROW()-ROW($A$5),TongHopKL!A:B,2,0)</f>
        <v>#N/A</v>
      </c>
      <c r="B73" s="1596">
        <f>SUM($O$6:O73)</f>
        <v>0</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50000000000003" hidden="1" customHeight="1">
      <c r="A74" s="1956" t="e">
        <f>VLOOKUP(ROW()-ROW($A$5),TongHopKL!A:B,2,0)</f>
        <v>#N/A</v>
      </c>
      <c r="B74" s="1596">
        <f>SUM($O$6:O74)</f>
        <v>0</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50000000000003" hidden="1" customHeight="1">
      <c r="A75" s="1956" t="e">
        <f>VLOOKUP(ROW()-ROW($A$5),TongHopKL!A:B,2,0)</f>
        <v>#N/A</v>
      </c>
      <c r="B75" s="1596">
        <f>SUM($O$6:O75)</f>
        <v>0</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50000000000003" hidden="1" customHeight="1">
      <c r="A76" s="1956" t="e">
        <f>VLOOKUP(ROW()-ROW($A$5),TongHopKL!A:B,2,0)</f>
        <v>#N/A</v>
      </c>
      <c r="B76" s="1596">
        <f>SUM($O$6:O76)</f>
        <v>0</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50000000000003" hidden="1" customHeight="1">
      <c r="A77" s="1956" t="e">
        <f>VLOOKUP(ROW()-ROW($A$5),TongHopKL!A:B,2,0)</f>
        <v>#N/A</v>
      </c>
      <c r="B77" s="1596">
        <f>SUM($O$6:O77)</f>
        <v>0</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50000000000003" hidden="1" customHeight="1">
      <c r="A78" s="1956" t="e">
        <f>VLOOKUP(ROW()-ROW($A$5),TongHopKL!A:B,2,0)</f>
        <v>#N/A</v>
      </c>
      <c r="B78" s="1596">
        <f>SUM($O$6:O78)</f>
        <v>0</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50000000000003" hidden="1" customHeight="1">
      <c r="A79" s="1956" t="e">
        <f>VLOOKUP(ROW()-ROW($A$5),TongHopKL!A:B,2,0)</f>
        <v>#N/A</v>
      </c>
      <c r="B79" s="1596">
        <f>SUM($O$6:O79)</f>
        <v>0</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50000000000003" hidden="1" customHeight="1">
      <c r="A80" s="1956" t="e">
        <f>VLOOKUP(ROW()-ROW($A$5),TongHopKL!A:B,2,0)</f>
        <v>#N/A</v>
      </c>
      <c r="B80" s="1596">
        <f>SUM($O$6:O80)</f>
        <v>0</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50000000000003" hidden="1" customHeight="1">
      <c r="A81" s="1956" t="e">
        <f>VLOOKUP(ROW()-ROW($A$5),TongHopKL!A:B,2,0)</f>
        <v>#N/A</v>
      </c>
      <c r="B81" s="1596">
        <f>SUM($O$6:O81)</f>
        <v>0</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50000000000003" hidden="1" customHeight="1">
      <c r="A82" s="1956" t="e">
        <f>VLOOKUP(ROW()-ROW($A$5),TongHopKL!A:B,2,0)</f>
        <v>#N/A</v>
      </c>
      <c r="B82" s="1596">
        <f>SUM($O$6:O82)</f>
        <v>0</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50000000000003" hidden="1" customHeight="1">
      <c r="A83" s="1956" t="e">
        <f>VLOOKUP(ROW()-ROW($A$5),TongHopKL!A:B,2,0)</f>
        <v>#N/A</v>
      </c>
      <c r="B83" s="1596">
        <f>SUM($O$6:O83)</f>
        <v>0</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50000000000003" hidden="1" customHeight="1">
      <c r="A84" s="1956" t="e">
        <f>VLOOKUP(ROW()-ROW($A$5),TongHopKL!A:B,2,0)</f>
        <v>#N/A</v>
      </c>
      <c r="B84" s="1596">
        <f>SUM($O$6:O84)</f>
        <v>0</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50000000000003" hidden="1" customHeight="1">
      <c r="A85" s="1956" t="e">
        <f>VLOOKUP(ROW()-ROW($A$5),TongHopKL!A:B,2,0)</f>
        <v>#N/A</v>
      </c>
      <c r="B85" s="1596">
        <f>SUM($O$6:O85)</f>
        <v>0</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50000000000003" hidden="1" customHeight="1">
      <c r="A86" s="1956" t="e">
        <f>VLOOKUP(ROW()-ROW($A$5),TongHopKL!A:B,2,0)</f>
        <v>#N/A</v>
      </c>
      <c r="B86" s="1596">
        <f>SUM($O$6:O86)</f>
        <v>0</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50000000000003" hidden="1" customHeight="1">
      <c r="A87" s="1956" t="e">
        <f>VLOOKUP(ROW()-ROW($A$5),TongHopKL!A:B,2,0)</f>
        <v>#N/A</v>
      </c>
      <c r="B87" s="1596">
        <f>SUM($O$6:O87)</f>
        <v>0</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0</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0</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0</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0</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0</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0</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0</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0</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0</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0</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0</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0</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0</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0</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0</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0</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0</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0</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0</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0</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0</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0</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0</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0</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0</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0</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0</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0</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0</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0</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0</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0</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0</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0</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0</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0</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0</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0</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0</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0</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25" workbookViewId="0">
      <selection activeCell="L35" sqref="L35"/>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59" t="s">
        <v>4621</v>
      </c>
      <c r="B1" s="3259"/>
      <c r="C1" s="3259"/>
      <c r="D1" s="3259"/>
      <c r="E1" s="3259"/>
      <c r="F1" s="3259"/>
      <c r="G1" s="2678"/>
      <c r="H1" s="1211"/>
    </row>
    <row r="2" spans="1:9" s="811" customFormat="1" ht="31.2">
      <c r="A2" s="1304" t="s">
        <v>4196</v>
      </c>
      <c r="B2" s="1304" t="s">
        <v>4174</v>
      </c>
      <c r="C2" s="1304" t="s">
        <v>4175</v>
      </c>
      <c r="D2" s="1304" t="s">
        <v>4176</v>
      </c>
      <c r="E2" s="1304" t="s">
        <v>4177</v>
      </c>
      <c r="F2" s="1304" t="s">
        <v>4178</v>
      </c>
      <c r="G2" s="1346" t="s">
        <v>1956</v>
      </c>
      <c r="H2" s="834"/>
      <c r="I2" s="844"/>
    </row>
    <row r="3" spans="1:9" ht="15.6">
      <c r="A3" s="1305">
        <f>SUM($G$3:G3)</f>
        <v>1</v>
      </c>
      <c r="B3" s="1306" t="e">
        <f>'NT-VT'!C6</f>
        <v>#N/A</v>
      </c>
      <c r="C3" s="1307">
        <f>'NT-VT'!D6</f>
        <v>0</v>
      </c>
      <c r="D3" s="1308">
        <f>'NT-VT'!E6</f>
        <v>0</v>
      </c>
      <c r="E3" s="1305" t="str">
        <f>'NT-VT'!F6</f>
        <v/>
      </c>
      <c r="F3" s="1305" t="str">
        <f>'NT-VT'!G6</f>
        <v/>
      </c>
      <c r="G3" s="837">
        <v>1</v>
      </c>
      <c r="H3" s="845"/>
      <c r="I3" s="821"/>
    </row>
    <row r="4" spans="1:9" ht="17.399999999999999">
      <c r="A4" s="1305">
        <f>SUM($G$3:G4)</f>
        <v>1</v>
      </c>
      <c r="B4" s="1306" t="e">
        <f>'NT-VT'!C7</f>
        <v>#N/A</v>
      </c>
      <c r="C4" s="1307">
        <f>'NT-VT'!D7</f>
        <v>0</v>
      </c>
      <c r="D4" s="1308">
        <f>'NT-VT'!E7</f>
        <v>0</v>
      </c>
      <c r="E4" s="1305" t="str">
        <f>'NT-VT'!F7</f>
        <v/>
      </c>
      <c r="F4" s="1305" t="str">
        <f>'NT-VT'!G7</f>
        <v/>
      </c>
      <c r="G4" s="837" t="str">
        <f t="shared" ref="G4:G66" si="0">IF(ISERROR(B4),"",1)</f>
        <v/>
      </c>
      <c r="H4" s="846"/>
    </row>
    <row r="5" spans="1:9" ht="17.399999999999999">
      <c r="A5" s="1305">
        <f>SUM($G$3:G5)</f>
        <v>1</v>
      </c>
      <c r="B5" s="1306" t="e">
        <f>'NT-VT'!C8</f>
        <v>#N/A</v>
      </c>
      <c r="C5" s="1307">
        <f>'NT-VT'!D8</f>
        <v>0</v>
      </c>
      <c r="D5" s="1308">
        <f>'NT-VT'!E8</f>
        <v>0</v>
      </c>
      <c r="E5" s="1305" t="str">
        <f>'NT-VT'!F8</f>
        <v/>
      </c>
      <c r="F5" s="1305" t="str">
        <f>'NT-VT'!G8</f>
        <v/>
      </c>
      <c r="G5" s="837" t="str">
        <f t="shared" si="0"/>
        <v/>
      </c>
      <c r="H5" s="846"/>
    </row>
    <row r="6" spans="1:9" ht="17.399999999999999">
      <c r="A6" s="1305">
        <f>SUM($G$3:G6)</f>
        <v>1</v>
      </c>
      <c r="B6" s="1306" t="e">
        <f>'NT-VT'!C9</f>
        <v>#N/A</v>
      </c>
      <c r="C6" s="1307">
        <f>'NT-VT'!D9</f>
        <v>0</v>
      </c>
      <c r="D6" s="1308">
        <f>'NT-VT'!E9</f>
        <v>0</v>
      </c>
      <c r="E6" s="1305" t="str">
        <f>'NT-VT'!F9</f>
        <v/>
      </c>
      <c r="F6" s="1305" t="str">
        <f>'NT-VT'!G9</f>
        <v/>
      </c>
      <c r="G6" s="837" t="str">
        <f t="shared" si="0"/>
        <v/>
      </c>
      <c r="H6" s="846"/>
    </row>
    <row r="7" spans="1:9" ht="15.6">
      <c r="A7" s="1305">
        <f>SUM($G$3:G7)</f>
        <v>1</v>
      </c>
      <c r="B7" s="1306" t="e">
        <f>'NT-VT'!C10</f>
        <v>#N/A</v>
      </c>
      <c r="C7" s="1307">
        <f>'NT-VT'!D10</f>
        <v>0</v>
      </c>
      <c r="D7" s="1308">
        <f>'NT-VT'!E10</f>
        <v>0</v>
      </c>
      <c r="E7" s="1305" t="str">
        <f>'NT-VT'!F10</f>
        <v/>
      </c>
      <c r="F7" s="1305" t="str">
        <f>'NT-VT'!G10</f>
        <v/>
      </c>
      <c r="G7" s="837" t="str">
        <f t="shared" si="0"/>
        <v/>
      </c>
      <c r="H7" s="845"/>
      <c r="I7" s="821"/>
    </row>
    <row r="8" spans="1:9" ht="15.6">
      <c r="A8" s="1305">
        <f>SUM($G$3:G8)</f>
        <v>1</v>
      </c>
      <c r="B8" s="1306" t="e">
        <f>'NT-VT'!C11</f>
        <v>#N/A</v>
      </c>
      <c r="C8" s="1307">
        <f>'NT-VT'!D11</f>
        <v>0</v>
      </c>
      <c r="D8" s="1308">
        <f>'NT-VT'!E11</f>
        <v>0</v>
      </c>
      <c r="E8" s="1305" t="str">
        <f>'NT-VT'!F11</f>
        <v/>
      </c>
      <c r="F8" s="1305" t="str">
        <f>'NT-VT'!G11</f>
        <v/>
      </c>
      <c r="G8" s="837" t="str">
        <f t="shared" si="0"/>
        <v/>
      </c>
      <c r="H8" s="845"/>
      <c r="I8" s="821"/>
    </row>
    <row r="9" spans="1:9" ht="15.6">
      <c r="A9" s="1305">
        <f>SUM($G$3:G9)</f>
        <v>1</v>
      </c>
      <c r="B9" s="1306" t="e">
        <f>'NT-VT'!C12</f>
        <v>#N/A</v>
      </c>
      <c r="C9" s="1307">
        <f>'NT-VT'!D12</f>
        <v>0</v>
      </c>
      <c r="D9" s="1308">
        <f>'NT-VT'!E12</f>
        <v>0</v>
      </c>
      <c r="E9" s="1305" t="str">
        <f>'NT-VT'!F12</f>
        <v/>
      </c>
      <c r="F9" s="1305" t="str">
        <f>'NT-VT'!G12</f>
        <v/>
      </c>
      <c r="G9" s="837" t="str">
        <f t="shared" si="0"/>
        <v/>
      </c>
      <c r="H9" s="845"/>
      <c r="I9" s="821"/>
    </row>
    <row r="10" spans="1:9" ht="15.6">
      <c r="A10" s="1305">
        <f>SUM($G$3:G10)</f>
        <v>1</v>
      </c>
      <c r="B10" s="1306" t="e">
        <f>'NT-VT'!C13</f>
        <v>#N/A</v>
      </c>
      <c r="C10" s="1307">
        <f>'NT-VT'!D13</f>
        <v>0</v>
      </c>
      <c r="D10" s="1308">
        <f>'NT-VT'!E13</f>
        <v>0</v>
      </c>
      <c r="E10" s="1305" t="str">
        <f>'NT-VT'!F13</f>
        <v/>
      </c>
      <c r="F10" s="1305" t="str">
        <f>'NT-VT'!G13</f>
        <v/>
      </c>
      <c r="G10" s="837" t="str">
        <f t="shared" si="0"/>
        <v/>
      </c>
      <c r="H10" s="845"/>
      <c r="I10" s="821"/>
    </row>
    <row r="11" spans="1:9" ht="17.399999999999999">
      <c r="A11" s="1305">
        <f>SUM($G$3:G11)</f>
        <v>1</v>
      </c>
      <c r="B11" s="1306" t="e">
        <f>'NT-VT'!C14</f>
        <v>#N/A</v>
      </c>
      <c r="C11" s="1307">
        <f>'NT-VT'!D14</f>
        <v>0</v>
      </c>
      <c r="D11" s="1308">
        <f>'NT-VT'!E14</f>
        <v>0</v>
      </c>
      <c r="E11" s="1305" t="str">
        <f>'NT-VT'!F14</f>
        <v/>
      </c>
      <c r="F11" s="1305" t="str">
        <f>'NT-VT'!G14</f>
        <v/>
      </c>
      <c r="G11" s="837" t="str">
        <f t="shared" si="0"/>
        <v/>
      </c>
      <c r="H11" s="846"/>
    </row>
    <row r="12" spans="1:9" ht="15.6">
      <c r="A12" s="1305">
        <f>SUM($G$3:G12)</f>
        <v>1</v>
      </c>
      <c r="B12" s="1306" t="e">
        <f>'NT-VT'!C15</f>
        <v>#N/A</v>
      </c>
      <c r="C12" s="1307">
        <f>'NT-VT'!D15</f>
        <v>0</v>
      </c>
      <c r="D12" s="1308">
        <f>'NT-VT'!E15</f>
        <v>0</v>
      </c>
      <c r="E12" s="1305" t="str">
        <f>'NT-VT'!F15</f>
        <v/>
      </c>
      <c r="F12" s="1305" t="str">
        <f>'NT-VT'!G15</f>
        <v/>
      </c>
      <c r="G12" s="837" t="str">
        <f t="shared" si="0"/>
        <v/>
      </c>
      <c r="H12" s="845"/>
      <c r="I12" s="821"/>
    </row>
    <row r="13" spans="1:9" ht="15.6">
      <c r="A13" s="1305">
        <f>SUM($G$3:G13)</f>
        <v>1</v>
      </c>
      <c r="B13" s="1306" t="e">
        <f>'NT-VT'!C16</f>
        <v>#N/A</v>
      </c>
      <c r="C13" s="1307">
        <f>'NT-VT'!D16</f>
        <v>0</v>
      </c>
      <c r="D13" s="1308">
        <f>'NT-VT'!E16</f>
        <v>0</v>
      </c>
      <c r="E13" s="1305" t="str">
        <f>'NT-VT'!F16</f>
        <v/>
      </c>
      <c r="F13" s="1305" t="str">
        <f>'NT-VT'!G16</f>
        <v/>
      </c>
      <c r="G13" s="837" t="str">
        <f t="shared" si="0"/>
        <v/>
      </c>
      <c r="H13" s="845"/>
      <c r="I13" s="821"/>
    </row>
    <row r="14" spans="1:9" ht="15.6">
      <c r="A14" s="1305">
        <f>SUM($G$3:G14)</f>
        <v>1</v>
      </c>
      <c r="B14" s="1306" t="e">
        <f>'NT-VT'!C17</f>
        <v>#N/A</v>
      </c>
      <c r="C14" s="1307">
        <f>'NT-VT'!D17</f>
        <v>0</v>
      </c>
      <c r="D14" s="1308">
        <f>'NT-VT'!E17</f>
        <v>0</v>
      </c>
      <c r="E14" s="1305" t="str">
        <f>'NT-VT'!F17</f>
        <v/>
      </c>
      <c r="F14" s="1305" t="str">
        <f>'NT-VT'!G17</f>
        <v/>
      </c>
      <c r="G14" s="837" t="str">
        <f t="shared" si="0"/>
        <v/>
      </c>
      <c r="H14" s="845"/>
      <c r="I14" s="821"/>
    </row>
    <row r="15" spans="1:9" ht="15.6">
      <c r="A15" s="1305">
        <f>SUM($G$3:G15)</f>
        <v>1</v>
      </c>
      <c r="B15" s="1306" t="e">
        <f>'NT-VT'!C18</f>
        <v>#N/A</v>
      </c>
      <c r="C15" s="1307">
        <f>'NT-VT'!D18</f>
        <v>0</v>
      </c>
      <c r="D15" s="1308">
        <f>'NT-VT'!E18</f>
        <v>0</v>
      </c>
      <c r="E15" s="1305" t="str">
        <f>'NT-VT'!F18</f>
        <v/>
      </c>
      <c r="F15" s="1305" t="str">
        <f>'NT-VT'!G18</f>
        <v/>
      </c>
      <c r="G15" s="837" t="str">
        <f t="shared" si="0"/>
        <v/>
      </c>
      <c r="H15" s="845"/>
      <c r="I15" s="821"/>
    </row>
    <row r="16" spans="1:9" ht="15.6">
      <c r="A16" s="1305">
        <f>SUM($G$3:G16)</f>
        <v>1</v>
      </c>
      <c r="B16" s="1306" t="e">
        <f>'NT-VT'!C19</f>
        <v>#N/A</v>
      </c>
      <c r="C16" s="1307">
        <f>'NT-VT'!D19</f>
        <v>0</v>
      </c>
      <c r="D16" s="1308">
        <f>'NT-VT'!E19</f>
        <v>0</v>
      </c>
      <c r="E16" s="1305" t="str">
        <f>'NT-VT'!F19</f>
        <v/>
      </c>
      <c r="F16" s="1305" t="str">
        <f>'NT-VT'!G19</f>
        <v/>
      </c>
      <c r="G16" s="837" t="str">
        <f t="shared" si="0"/>
        <v/>
      </c>
      <c r="H16" s="845"/>
      <c r="I16" s="821"/>
    </row>
    <row r="17" spans="1:9" ht="15.6">
      <c r="A17" s="1305">
        <f>SUM($G$3:G17)</f>
        <v>1</v>
      </c>
      <c r="B17" s="1306" t="e">
        <f>'NT-VT'!C20</f>
        <v>#N/A</v>
      </c>
      <c r="C17" s="1307">
        <f>'NT-VT'!D20</f>
        <v>0</v>
      </c>
      <c r="D17" s="1308">
        <f>'NT-VT'!E20</f>
        <v>0</v>
      </c>
      <c r="E17" s="1305" t="str">
        <f>'NT-VT'!F20</f>
        <v/>
      </c>
      <c r="F17" s="1305" t="str">
        <f>'NT-VT'!G20</f>
        <v/>
      </c>
      <c r="G17" s="837" t="str">
        <f t="shared" si="0"/>
        <v/>
      </c>
      <c r="H17" s="845"/>
      <c r="I17" s="847"/>
    </row>
    <row r="18" spans="1:9" ht="15.6">
      <c r="A18" s="1305">
        <f>SUM($G$3:G18)</f>
        <v>1</v>
      </c>
      <c r="B18" s="1306" t="e">
        <f>'NT-VT'!C21</f>
        <v>#N/A</v>
      </c>
      <c r="C18" s="1307">
        <f>'NT-VT'!D21</f>
        <v>0</v>
      </c>
      <c r="D18" s="1308">
        <f>'NT-VT'!E21</f>
        <v>0</v>
      </c>
      <c r="E18" s="1305" t="str">
        <f>'NT-VT'!F21</f>
        <v/>
      </c>
      <c r="F18" s="1305" t="str">
        <f>'NT-VT'!G21</f>
        <v/>
      </c>
      <c r="G18" s="837" t="str">
        <f t="shared" si="0"/>
        <v/>
      </c>
      <c r="H18" s="845"/>
      <c r="I18" s="847"/>
    </row>
    <row r="19" spans="1:9" ht="15.6">
      <c r="A19" s="1305">
        <f>SUM($G$3:G19)</f>
        <v>1</v>
      </c>
      <c r="B19" s="1306" t="e">
        <f>'NT-VT'!C22</f>
        <v>#N/A</v>
      </c>
      <c r="C19" s="1307">
        <f>'NT-VT'!D22</f>
        <v>0</v>
      </c>
      <c r="D19" s="1308">
        <f>'NT-VT'!E22</f>
        <v>0</v>
      </c>
      <c r="E19" s="1305" t="str">
        <f>'NT-VT'!F22</f>
        <v/>
      </c>
      <c r="F19" s="1305" t="str">
        <f>'NT-VT'!G22</f>
        <v/>
      </c>
      <c r="G19" s="837" t="str">
        <f t="shared" si="0"/>
        <v/>
      </c>
      <c r="H19" s="845"/>
      <c r="I19" s="847"/>
    </row>
    <row r="20" spans="1:9" ht="17.399999999999999">
      <c r="A20" s="1305">
        <f>SUM($G$3:G20)</f>
        <v>1</v>
      </c>
      <c r="B20" s="1306" t="e">
        <f>'NT-VT'!C23</f>
        <v>#N/A</v>
      </c>
      <c r="C20" s="1307">
        <f>'NT-VT'!D23</f>
        <v>0</v>
      </c>
      <c r="D20" s="1308">
        <f>'NT-VT'!E23</f>
        <v>0</v>
      </c>
      <c r="E20" s="1305" t="str">
        <f>'NT-VT'!F23</f>
        <v/>
      </c>
      <c r="F20" s="1305" t="str">
        <f>'NT-VT'!G23</f>
        <v/>
      </c>
      <c r="G20" s="837" t="str">
        <f t="shared" si="0"/>
        <v/>
      </c>
      <c r="H20" s="846"/>
    </row>
    <row r="21" spans="1:9" ht="15.6">
      <c r="A21" s="1305">
        <f>SUM($G$3:G21)</f>
        <v>1</v>
      </c>
      <c r="B21" s="1306" t="e">
        <f>'NT-VT'!C24</f>
        <v>#N/A</v>
      </c>
      <c r="C21" s="1307">
        <f>'NT-VT'!D24</f>
        <v>0</v>
      </c>
      <c r="D21" s="1308">
        <f>'NT-VT'!E24</f>
        <v>0</v>
      </c>
      <c r="E21" s="1305" t="str">
        <f>'NT-VT'!F24</f>
        <v/>
      </c>
      <c r="F21" s="1305" t="str">
        <f>'NT-VT'!G24</f>
        <v/>
      </c>
      <c r="G21" s="837" t="str">
        <f t="shared" si="0"/>
        <v/>
      </c>
      <c r="H21" s="845"/>
      <c r="I21" s="821"/>
    </row>
    <row r="22" spans="1:9" ht="15.6">
      <c r="A22" s="1305">
        <f>SUM($G$3:G22)</f>
        <v>1</v>
      </c>
      <c r="B22" s="1306" t="e">
        <f>'NT-VT'!C25</f>
        <v>#N/A</v>
      </c>
      <c r="C22" s="1307">
        <f>'NT-VT'!D25</f>
        <v>0</v>
      </c>
      <c r="D22" s="1308">
        <f>'NT-VT'!E25</f>
        <v>0</v>
      </c>
      <c r="E22" s="1305" t="str">
        <f>'NT-VT'!F25</f>
        <v/>
      </c>
      <c r="F22" s="1305" t="str">
        <f>'NT-VT'!G25</f>
        <v/>
      </c>
      <c r="G22" s="837" t="str">
        <f t="shared" si="0"/>
        <v/>
      </c>
      <c r="H22" s="845"/>
      <c r="I22" s="821"/>
    </row>
    <row r="23" spans="1:9" ht="15.6">
      <c r="A23" s="1305">
        <f>SUM($G$3:G23)</f>
        <v>1</v>
      </c>
      <c r="B23" s="1306" t="e">
        <f>'NT-VT'!C26</f>
        <v>#N/A</v>
      </c>
      <c r="C23" s="1307">
        <f>'NT-VT'!D26</f>
        <v>0</v>
      </c>
      <c r="D23" s="1308">
        <f>'NT-VT'!E26</f>
        <v>0</v>
      </c>
      <c r="E23" s="1305" t="str">
        <f>'NT-VT'!F26</f>
        <v/>
      </c>
      <c r="F23" s="1305" t="str">
        <f>'NT-VT'!G26</f>
        <v/>
      </c>
      <c r="G23" s="837" t="str">
        <f t="shared" si="0"/>
        <v/>
      </c>
      <c r="H23" s="845"/>
      <c r="I23" s="847"/>
    </row>
    <row r="24" spans="1:9" ht="15.6">
      <c r="A24" s="1305">
        <f>SUM($G$3:G24)</f>
        <v>1</v>
      </c>
      <c r="B24" s="1306" t="e">
        <f>'NT-VT'!C27</f>
        <v>#N/A</v>
      </c>
      <c r="C24" s="1307">
        <f>'NT-VT'!D27</f>
        <v>0</v>
      </c>
      <c r="D24" s="1308">
        <f>'NT-VT'!E27</f>
        <v>0</v>
      </c>
      <c r="E24" s="1305" t="str">
        <f>'NT-VT'!F27</f>
        <v/>
      </c>
      <c r="F24" s="1305" t="str">
        <f>'NT-VT'!G27</f>
        <v/>
      </c>
      <c r="G24" s="837" t="str">
        <f t="shared" si="0"/>
        <v/>
      </c>
      <c r="H24" s="845"/>
      <c r="I24" s="847"/>
    </row>
    <row r="25" spans="1:9" ht="15.6">
      <c r="A25" s="1305">
        <f>SUM($G$3:G25)</f>
        <v>1</v>
      </c>
      <c r="B25" s="1306" t="e">
        <f>'NT-VT'!C28</f>
        <v>#N/A</v>
      </c>
      <c r="C25" s="1307">
        <f>'NT-VT'!D28</f>
        <v>0</v>
      </c>
      <c r="D25" s="1308">
        <f>'NT-VT'!E28</f>
        <v>0</v>
      </c>
      <c r="E25" s="1305" t="str">
        <f>'NT-VT'!F28</f>
        <v/>
      </c>
      <c r="F25" s="1305" t="str">
        <f>'NT-VT'!G28</f>
        <v/>
      </c>
      <c r="G25" s="837" t="str">
        <f t="shared" si="0"/>
        <v/>
      </c>
      <c r="H25" s="845"/>
      <c r="I25" s="821"/>
    </row>
    <row r="26" spans="1:9" ht="15.6">
      <c r="A26" s="1305">
        <f>SUM($G$3:G26)</f>
        <v>1</v>
      </c>
      <c r="B26" s="1306" t="e">
        <f>'NT-VT'!C29</f>
        <v>#N/A</v>
      </c>
      <c r="C26" s="1307">
        <f>'NT-VT'!D29</f>
        <v>0</v>
      </c>
      <c r="D26" s="1308">
        <f>'NT-VT'!E29</f>
        <v>0</v>
      </c>
      <c r="E26" s="1305" t="str">
        <f>'NT-VT'!F29</f>
        <v/>
      </c>
      <c r="F26" s="1305" t="str">
        <f>'NT-VT'!G29</f>
        <v/>
      </c>
      <c r="G26" s="837" t="str">
        <f t="shared" si="0"/>
        <v/>
      </c>
      <c r="H26" s="845"/>
      <c r="I26" s="821"/>
    </row>
    <row r="27" spans="1:9" ht="15.6">
      <c r="A27" s="1305">
        <f>SUM($G$3:G27)</f>
        <v>1</v>
      </c>
      <c r="B27" s="1306" t="e">
        <f>'NT-VT'!C30</f>
        <v>#N/A</v>
      </c>
      <c r="C27" s="1307">
        <f>'NT-VT'!D30</f>
        <v>0</v>
      </c>
      <c r="D27" s="1308">
        <f>'NT-VT'!E30</f>
        <v>0</v>
      </c>
      <c r="E27" s="1305" t="str">
        <f>'NT-VT'!F30</f>
        <v/>
      </c>
      <c r="F27" s="1305" t="str">
        <f>'NT-VT'!G30</f>
        <v/>
      </c>
      <c r="G27" s="837" t="str">
        <f t="shared" si="0"/>
        <v/>
      </c>
      <c r="H27" s="845"/>
      <c r="I27" s="821"/>
    </row>
    <row r="28" spans="1:9" ht="15.6">
      <c r="A28" s="1305">
        <f>SUM($G$3:G28)</f>
        <v>1</v>
      </c>
      <c r="B28" s="1306" t="e">
        <f>'NT-VT'!C31</f>
        <v>#N/A</v>
      </c>
      <c r="C28" s="1307">
        <f>'NT-VT'!D31</f>
        <v>0</v>
      </c>
      <c r="D28" s="1308">
        <f>'NT-VT'!E31</f>
        <v>0</v>
      </c>
      <c r="E28" s="1305" t="str">
        <f>'NT-VT'!F31</f>
        <v/>
      </c>
      <c r="F28" s="1305" t="str">
        <f>'NT-VT'!G31</f>
        <v/>
      </c>
      <c r="G28" s="837" t="str">
        <f t="shared" si="0"/>
        <v/>
      </c>
      <c r="H28" s="845"/>
      <c r="I28" s="821"/>
    </row>
    <row r="29" spans="1:9" ht="15.6">
      <c r="A29" s="1305">
        <f>SUM($G$3:G29)</f>
        <v>1</v>
      </c>
      <c r="B29" s="1306" t="e">
        <f>'NT-VT'!C32</f>
        <v>#N/A</v>
      </c>
      <c r="C29" s="1307">
        <f>'NT-VT'!D32</f>
        <v>0</v>
      </c>
      <c r="D29" s="1308">
        <f>'NT-VT'!E32</f>
        <v>0</v>
      </c>
      <c r="E29" s="1305" t="str">
        <f>'NT-VT'!F32</f>
        <v/>
      </c>
      <c r="F29" s="1305" t="str">
        <f>'NT-VT'!G32</f>
        <v/>
      </c>
      <c r="G29" s="837" t="str">
        <f t="shared" si="0"/>
        <v/>
      </c>
      <c r="H29" s="845"/>
      <c r="I29" s="847"/>
    </row>
    <row r="30" spans="1:9" ht="17.399999999999999">
      <c r="A30" s="1305">
        <f>SUM($G$3:G30)</f>
        <v>1</v>
      </c>
      <c r="B30" s="1306" t="e">
        <f>'NT-VT'!C33</f>
        <v>#N/A</v>
      </c>
      <c r="C30" s="1307">
        <f>'NT-VT'!D33</f>
        <v>0</v>
      </c>
      <c r="D30" s="1308">
        <f>'NT-VT'!E33</f>
        <v>0</v>
      </c>
      <c r="E30" s="1305" t="str">
        <f>'NT-VT'!F33</f>
        <v/>
      </c>
      <c r="F30" s="1305" t="str">
        <f>'NT-VT'!G33</f>
        <v/>
      </c>
      <c r="G30" s="837" t="str">
        <f t="shared" si="0"/>
        <v/>
      </c>
      <c r="H30" s="846"/>
    </row>
    <row r="31" spans="1:9" ht="15.6">
      <c r="A31" s="1305">
        <f>SUM($G$3:G31)</f>
        <v>1</v>
      </c>
      <c r="B31" s="1306" t="e">
        <f>'NT-VT'!C34</f>
        <v>#N/A</v>
      </c>
      <c r="C31" s="1307">
        <f>'NT-VT'!D34</f>
        <v>0</v>
      </c>
      <c r="D31" s="1308">
        <f>'NT-VT'!E34</f>
        <v>0</v>
      </c>
      <c r="E31" s="1305" t="str">
        <f>'NT-VT'!F34</f>
        <v/>
      </c>
      <c r="F31" s="1305" t="str">
        <f>'NT-VT'!G34</f>
        <v/>
      </c>
      <c r="G31" s="837" t="str">
        <f t="shared" si="0"/>
        <v/>
      </c>
      <c r="H31" s="845"/>
      <c r="I31" s="847"/>
    </row>
    <row r="32" spans="1:9" ht="15.6">
      <c r="A32" s="1305">
        <f>SUM($G$3:G32)</f>
        <v>1</v>
      </c>
      <c r="B32" s="1306" t="e">
        <f>'NT-VT'!C35</f>
        <v>#N/A</v>
      </c>
      <c r="C32" s="1307">
        <f>'NT-VT'!D35</f>
        <v>0</v>
      </c>
      <c r="D32" s="1308">
        <f>'NT-VT'!E35</f>
        <v>0</v>
      </c>
      <c r="E32" s="1305" t="str">
        <f>'NT-VT'!F35</f>
        <v/>
      </c>
      <c r="F32" s="1305" t="str">
        <f>'NT-VT'!G35</f>
        <v/>
      </c>
      <c r="G32" s="837" t="str">
        <f t="shared" si="0"/>
        <v/>
      </c>
      <c r="H32" s="845"/>
      <c r="I32" s="847"/>
    </row>
    <row r="33" spans="1:9" ht="17.399999999999999">
      <c r="A33" s="1305">
        <f>SUM($G$3:G33)</f>
        <v>1</v>
      </c>
      <c r="B33" s="1306" t="e">
        <f>'NT-VT'!C36</f>
        <v>#N/A</v>
      </c>
      <c r="C33" s="1307">
        <f>'NT-VT'!D36</f>
        <v>0</v>
      </c>
      <c r="D33" s="1308">
        <f>'NT-VT'!E36</f>
        <v>0</v>
      </c>
      <c r="E33" s="1305" t="str">
        <f>'NT-VT'!F36</f>
        <v/>
      </c>
      <c r="F33" s="1305" t="str">
        <f>'NT-VT'!G36</f>
        <v/>
      </c>
      <c r="G33" s="837" t="str">
        <f t="shared" si="0"/>
        <v/>
      </c>
      <c r="H33" s="846"/>
    </row>
    <row r="34" spans="1:9" ht="15.6">
      <c r="A34" s="1305">
        <f>SUM($G$3:G34)</f>
        <v>1</v>
      </c>
      <c r="B34" s="1306" t="e">
        <f>'NT-VT'!C37</f>
        <v>#N/A</v>
      </c>
      <c r="C34" s="1307">
        <f>'NT-VT'!D37</f>
        <v>0</v>
      </c>
      <c r="D34" s="1308">
        <f>'NT-VT'!E37</f>
        <v>0</v>
      </c>
      <c r="E34" s="1305" t="str">
        <f>'NT-VT'!F37</f>
        <v/>
      </c>
      <c r="F34" s="1305" t="str">
        <f>'NT-VT'!G37</f>
        <v/>
      </c>
      <c r="G34" s="837" t="str">
        <f t="shared" si="0"/>
        <v/>
      </c>
      <c r="H34" s="845"/>
      <c r="I34" s="847"/>
    </row>
    <row r="35" spans="1:9" ht="15.6">
      <c r="A35" s="1305">
        <f>SUM($G$3:G35)</f>
        <v>1</v>
      </c>
      <c r="B35" s="1306" t="e">
        <f>'NT-VT'!C38</f>
        <v>#N/A</v>
      </c>
      <c r="C35" s="1307">
        <f>'NT-VT'!D38</f>
        <v>0</v>
      </c>
      <c r="D35" s="1308">
        <f>'NT-VT'!E38</f>
        <v>0</v>
      </c>
      <c r="E35" s="1305" t="str">
        <f>'NT-VT'!F38</f>
        <v/>
      </c>
      <c r="F35" s="1305" t="str">
        <f>'NT-VT'!G38</f>
        <v/>
      </c>
      <c r="G35" s="837" t="str">
        <f t="shared" si="0"/>
        <v/>
      </c>
      <c r="H35" s="845"/>
      <c r="I35" s="847"/>
    </row>
    <row r="36" spans="1:9" ht="15.6">
      <c r="A36" s="1305">
        <f>SUM($G$3:G36)</f>
        <v>1</v>
      </c>
      <c r="B36" s="1306" t="e">
        <f>'NT-VT'!C39</f>
        <v>#N/A</v>
      </c>
      <c r="C36" s="1307">
        <f>'NT-VT'!D39</f>
        <v>0</v>
      </c>
      <c r="D36" s="1308">
        <f>'NT-VT'!E39</f>
        <v>0</v>
      </c>
      <c r="E36" s="1305" t="str">
        <f>'NT-VT'!F39</f>
        <v/>
      </c>
      <c r="F36" s="1305" t="str">
        <f>'NT-VT'!G39</f>
        <v/>
      </c>
      <c r="G36" s="837" t="str">
        <f t="shared" si="0"/>
        <v/>
      </c>
      <c r="H36" s="845"/>
      <c r="I36" s="847"/>
    </row>
    <row r="37" spans="1:9" ht="15.6">
      <c r="A37" s="1305">
        <f>SUM($G$3:G37)</f>
        <v>1</v>
      </c>
      <c r="B37" s="1306" t="e">
        <f>'NT-VT'!C40</f>
        <v>#N/A</v>
      </c>
      <c r="C37" s="1307">
        <f>'NT-VT'!D40</f>
        <v>0</v>
      </c>
      <c r="D37" s="1308">
        <f>'NT-VT'!E40</f>
        <v>0</v>
      </c>
      <c r="E37" s="1305" t="str">
        <f>'NT-VT'!F40</f>
        <v/>
      </c>
      <c r="F37" s="1305" t="str">
        <f>'NT-VT'!G40</f>
        <v/>
      </c>
      <c r="G37" s="837" t="str">
        <f t="shared" si="0"/>
        <v/>
      </c>
      <c r="H37" s="845"/>
      <c r="I37" s="847"/>
    </row>
    <row r="38" spans="1:9" ht="15.6">
      <c r="A38" s="1305">
        <f>SUM($G$3:G38)</f>
        <v>1</v>
      </c>
      <c r="B38" s="1306" t="e">
        <f>'NT-VT'!C41</f>
        <v>#N/A</v>
      </c>
      <c r="C38" s="1307">
        <f>'NT-VT'!D41</f>
        <v>0</v>
      </c>
      <c r="D38" s="1308">
        <f>'NT-VT'!E41</f>
        <v>0</v>
      </c>
      <c r="E38" s="1305" t="str">
        <f>'NT-VT'!F41</f>
        <v/>
      </c>
      <c r="F38" s="1305" t="str">
        <f>'NT-VT'!G41</f>
        <v/>
      </c>
      <c r="G38" s="837" t="str">
        <f t="shared" si="0"/>
        <v/>
      </c>
      <c r="H38" s="845"/>
      <c r="I38" s="821"/>
    </row>
    <row r="39" spans="1:9" ht="17.399999999999999">
      <c r="A39" s="1305">
        <f>SUM($G$3:G39)</f>
        <v>1</v>
      </c>
      <c r="B39" s="1306" t="e">
        <f>'NT-VT'!C42</f>
        <v>#N/A</v>
      </c>
      <c r="C39" s="1307">
        <f>'NT-VT'!D42</f>
        <v>0</v>
      </c>
      <c r="D39" s="1308">
        <f>'NT-VT'!E42</f>
        <v>0</v>
      </c>
      <c r="E39" s="1305" t="str">
        <f>'NT-VT'!F42</f>
        <v/>
      </c>
      <c r="F39" s="1305" t="str">
        <f>'NT-VT'!G42</f>
        <v/>
      </c>
      <c r="G39" s="837" t="str">
        <f t="shared" si="0"/>
        <v/>
      </c>
      <c r="H39" s="846"/>
    </row>
    <row r="40" spans="1:9" ht="17.399999999999999">
      <c r="A40" s="1305">
        <f>SUM($G$3:G40)</f>
        <v>1</v>
      </c>
      <c r="B40" s="1306" t="e">
        <f>'NT-VT'!C43</f>
        <v>#N/A</v>
      </c>
      <c r="C40" s="1307">
        <f>'NT-VT'!D43</f>
        <v>0</v>
      </c>
      <c r="D40" s="1308">
        <f>'NT-VT'!E43</f>
        <v>0</v>
      </c>
      <c r="E40" s="1305" t="str">
        <f>'NT-VT'!F43</f>
        <v/>
      </c>
      <c r="F40" s="1305" t="str">
        <f>'NT-VT'!G43</f>
        <v/>
      </c>
      <c r="G40" s="837" t="str">
        <f t="shared" si="0"/>
        <v/>
      </c>
      <c r="H40" s="846"/>
    </row>
    <row r="41" spans="1:9" ht="15.6">
      <c r="A41" s="1305">
        <f>SUM($G$3:G41)</f>
        <v>1</v>
      </c>
      <c r="B41" s="1306" t="e">
        <f>'NT-VT'!C44</f>
        <v>#N/A</v>
      </c>
      <c r="C41" s="1307">
        <f>'NT-VT'!D44</f>
        <v>0</v>
      </c>
      <c r="D41" s="1308">
        <f>'NT-VT'!E44</f>
        <v>0</v>
      </c>
      <c r="E41" s="1305" t="str">
        <f>'NT-VT'!F44</f>
        <v/>
      </c>
      <c r="F41" s="1305" t="str">
        <f>'NT-VT'!G44</f>
        <v/>
      </c>
      <c r="G41" s="837" t="str">
        <f t="shared" si="0"/>
        <v/>
      </c>
      <c r="H41" s="845"/>
      <c r="I41" s="847"/>
    </row>
    <row r="42" spans="1:9" ht="15.6">
      <c r="A42" s="1305">
        <f>SUM($G$3:G42)</f>
        <v>1</v>
      </c>
      <c r="B42" s="1306" t="e">
        <f>'NT-VT'!C45</f>
        <v>#N/A</v>
      </c>
      <c r="C42" s="1307">
        <f>'NT-VT'!D45</f>
        <v>0</v>
      </c>
      <c r="D42" s="1308">
        <f>'NT-VT'!E45</f>
        <v>0</v>
      </c>
      <c r="E42" s="1305" t="str">
        <f>'NT-VT'!F45</f>
        <v/>
      </c>
      <c r="F42" s="1305" t="str">
        <f>'NT-VT'!G45</f>
        <v/>
      </c>
      <c r="G42" s="837" t="str">
        <f t="shared" si="0"/>
        <v/>
      </c>
      <c r="H42" s="845"/>
      <c r="I42" s="821"/>
    </row>
    <row r="43" spans="1:9" ht="15.6">
      <c r="A43" s="1305">
        <f>SUM($G$3:G43)</f>
        <v>1</v>
      </c>
      <c r="B43" s="1306" t="e">
        <f>'NT-VT'!C46</f>
        <v>#N/A</v>
      </c>
      <c r="C43" s="1307">
        <f>'NT-VT'!D46</f>
        <v>0</v>
      </c>
      <c r="D43" s="1308">
        <f>'NT-VT'!E46</f>
        <v>0</v>
      </c>
      <c r="E43" s="1305" t="str">
        <f>'NT-VT'!F46</f>
        <v/>
      </c>
      <c r="F43" s="1305" t="str">
        <f>'NT-VT'!G46</f>
        <v/>
      </c>
      <c r="G43" s="837" t="str">
        <f t="shared" si="0"/>
        <v/>
      </c>
      <c r="H43" s="845"/>
      <c r="I43" s="847"/>
    </row>
    <row r="44" spans="1:9" ht="15.6">
      <c r="A44" s="1305">
        <f>SUM($G$3:G44)</f>
        <v>1</v>
      </c>
      <c r="B44" s="1306" t="e">
        <f>'NT-VT'!C47</f>
        <v>#N/A</v>
      </c>
      <c r="C44" s="1307">
        <f>'NT-VT'!D47</f>
        <v>0</v>
      </c>
      <c r="D44" s="1308">
        <f>'NT-VT'!E47</f>
        <v>0</v>
      </c>
      <c r="E44" s="1305" t="str">
        <f>'NT-VT'!F47</f>
        <v/>
      </c>
      <c r="F44" s="1305" t="str">
        <f>'NT-VT'!G47</f>
        <v/>
      </c>
      <c r="G44" s="837" t="str">
        <f t="shared" si="0"/>
        <v/>
      </c>
      <c r="H44" s="845"/>
      <c r="I44" s="821"/>
    </row>
    <row r="45" spans="1:9" ht="15.6">
      <c r="A45" s="1305">
        <f>SUM($G$3:G45)</f>
        <v>1</v>
      </c>
      <c r="B45" s="1306" t="e">
        <f>'NT-VT'!C48</f>
        <v>#N/A</v>
      </c>
      <c r="C45" s="1307">
        <f>'NT-VT'!D48</f>
        <v>0</v>
      </c>
      <c r="D45" s="1308">
        <f>'NT-VT'!E48</f>
        <v>0</v>
      </c>
      <c r="E45" s="1305" t="str">
        <f>'NT-VT'!F48</f>
        <v/>
      </c>
      <c r="F45" s="1305" t="str">
        <f>'NT-VT'!G48</f>
        <v/>
      </c>
      <c r="G45" s="837" t="str">
        <f t="shared" si="0"/>
        <v/>
      </c>
      <c r="H45" s="845"/>
      <c r="I45" s="821"/>
    </row>
    <row r="46" spans="1:9" ht="15.6">
      <c r="A46" s="1305">
        <f>SUM($G$3:G46)</f>
        <v>1</v>
      </c>
      <c r="B46" s="1306" t="e">
        <f>'NT-VT'!C49</f>
        <v>#N/A</v>
      </c>
      <c r="C46" s="1307">
        <f>'NT-VT'!D49</f>
        <v>0</v>
      </c>
      <c r="D46" s="1308">
        <f>'NT-VT'!E49</f>
        <v>0</v>
      </c>
      <c r="E46" s="1305" t="str">
        <f>'NT-VT'!F49</f>
        <v/>
      </c>
      <c r="F46" s="1305" t="str">
        <f>'NT-VT'!G49</f>
        <v/>
      </c>
      <c r="G46" s="837" t="str">
        <f t="shared" si="0"/>
        <v/>
      </c>
      <c r="H46" s="845"/>
      <c r="I46" s="821"/>
    </row>
    <row r="47" spans="1:9" ht="15.6">
      <c r="A47" s="1305">
        <f>SUM($G$3:G47)</f>
        <v>1</v>
      </c>
      <c r="B47" s="1306" t="e">
        <f>'NT-VT'!C50</f>
        <v>#N/A</v>
      </c>
      <c r="C47" s="1307">
        <f>'NT-VT'!D50</f>
        <v>0</v>
      </c>
      <c r="D47" s="1308">
        <f>'NT-VT'!E50</f>
        <v>0</v>
      </c>
      <c r="E47" s="1305" t="str">
        <f>'NT-VT'!F50</f>
        <v/>
      </c>
      <c r="F47" s="1305" t="str">
        <f>'NT-VT'!G50</f>
        <v/>
      </c>
      <c r="G47" s="837" t="str">
        <f t="shared" si="0"/>
        <v/>
      </c>
      <c r="H47" s="845"/>
      <c r="I47" s="821"/>
    </row>
    <row r="48" spans="1:9" ht="15.6">
      <c r="A48" s="1305">
        <f>SUM($G$3:G48)</f>
        <v>1</v>
      </c>
      <c r="B48" s="1306" t="e">
        <f>'NT-VT'!C51</f>
        <v>#N/A</v>
      </c>
      <c r="C48" s="1307">
        <f>'NT-VT'!D51</f>
        <v>0</v>
      </c>
      <c r="D48" s="1308">
        <f>'NT-VT'!E51</f>
        <v>0</v>
      </c>
      <c r="E48" s="1305" t="str">
        <f>'NT-VT'!F51</f>
        <v/>
      </c>
      <c r="F48" s="1305" t="str">
        <f>'NT-VT'!G51</f>
        <v/>
      </c>
      <c r="G48" s="837" t="str">
        <f t="shared" si="0"/>
        <v/>
      </c>
      <c r="H48" s="845"/>
      <c r="I48" s="821"/>
    </row>
    <row r="49" spans="1:9" ht="15.6">
      <c r="A49" s="1305">
        <f>SUM($G$3:G49)</f>
        <v>1</v>
      </c>
      <c r="B49" s="1306" t="e">
        <f>'NT-VT'!C52</f>
        <v>#N/A</v>
      </c>
      <c r="C49" s="1307">
        <f>'NT-VT'!D52</f>
        <v>0</v>
      </c>
      <c r="D49" s="1308">
        <f>'NT-VT'!E52</f>
        <v>0</v>
      </c>
      <c r="E49" s="1305" t="str">
        <f>'NT-VT'!F52</f>
        <v/>
      </c>
      <c r="F49" s="1305" t="str">
        <f>'NT-VT'!G52</f>
        <v/>
      </c>
      <c r="G49" s="837" t="str">
        <f t="shared" si="0"/>
        <v/>
      </c>
      <c r="H49" s="845"/>
      <c r="I49" s="821"/>
    </row>
    <row r="50" spans="1:9" ht="15.6">
      <c r="A50" s="1305">
        <f>SUM($G$3:G50)</f>
        <v>1</v>
      </c>
      <c r="B50" s="1306" t="e">
        <f>'NT-VT'!C53</f>
        <v>#N/A</v>
      </c>
      <c r="C50" s="1307">
        <f>'NT-VT'!D53</f>
        <v>0</v>
      </c>
      <c r="D50" s="1308">
        <f>'NT-VT'!E53</f>
        <v>0</v>
      </c>
      <c r="E50" s="1305" t="str">
        <f>'NT-VT'!F53</f>
        <v/>
      </c>
      <c r="F50" s="1305" t="str">
        <f>'NT-VT'!G53</f>
        <v/>
      </c>
      <c r="G50" s="837" t="str">
        <f t="shared" si="0"/>
        <v/>
      </c>
      <c r="H50" s="845"/>
      <c r="I50" s="821"/>
    </row>
    <row r="51" spans="1:9" ht="15.6">
      <c r="A51" s="1305">
        <f>SUM($G$3:G51)</f>
        <v>1</v>
      </c>
      <c r="B51" s="1306" t="e">
        <f>'NT-VT'!C54</f>
        <v>#N/A</v>
      </c>
      <c r="C51" s="1307">
        <f>'NT-VT'!D54</f>
        <v>0</v>
      </c>
      <c r="D51" s="1308">
        <f>'NT-VT'!E54</f>
        <v>0</v>
      </c>
      <c r="E51" s="1305" t="str">
        <f>'NT-VT'!F54</f>
        <v/>
      </c>
      <c r="F51" s="1305" t="str">
        <f>'NT-VT'!G54</f>
        <v/>
      </c>
      <c r="G51" s="837" t="str">
        <f t="shared" si="0"/>
        <v/>
      </c>
      <c r="H51" s="845"/>
      <c r="I51" s="821"/>
    </row>
    <row r="52" spans="1:9" ht="15.6">
      <c r="A52" s="1305">
        <f>SUM($G$3:G52)</f>
        <v>1</v>
      </c>
      <c r="B52" s="1306" t="e">
        <f>'NT-VT'!C55</f>
        <v>#N/A</v>
      </c>
      <c r="C52" s="1307">
        <f>'NT-VT'!D55</f>
        <v>0</v>
      </c>
      <c r="D52" s="1308">
        <f>'NT-VT'!E55</f>
        <v>0</v>
      </c>
      <c r="E52" s="1305" t="str">
        <f>'NT-VT'!F55</f>
        <v/>
      </c>
      <c r="F52" s="1305" t="str">
        <f>'NT-VT'!G55</f>
        <v/>
      </c>
      <c r="G52" s="837" t="str">
        <f t="shared" si="0"/>
        <v/>
      </c>
      <c r="H52" s="845"/>
      <c r="I52" s="821"/>
    </row>
    <row r="53" spans="1:9" ht="15.6">
      <c r="A53" s="1305">
        <f>SUM($G$3:G53)</f>
        <v>1</v>
      </c>
      <c r="B53" s="1306" t="e">
        <f>'NT-VT'!C56</f>
        <v>#N/A</v>
      </c>
      <c r="C53" s="1307">
        <f>'NT-VT'!D56</f>
        <v>0</v>
      </c>
      <c r="D53" s="1308">
        <f>'NT-VT'!E56</f>
        <v>0</v>
      </c>
      <c r="E53" s="1305" t="str">
        <f>'NT-VT'!F56</f>
        <v/>
      </c>
      <c r="F53" s="1305" t="str">
        <f>'NT-VT'!G56</f>
        <v/>
      </c>
      <c r="G53" s="837" t="str">
        <f t="shared" si="0"/>
        <v/>
      </c>
      <c r="H53" s="845"/>
      <c r="I53" s="821"/>
    </row>
    <row r="54" spans="1:9" ht="15.6">
      <c r="A54" s="1305">
        <f>SUM($G$3:G54)</f>
        <v>1</v>
      </c>
      <c r="B54" s="1306" t="e">
        <f>'NT-VT'!C57</f>
        <v>#N/A</v>
      </c>
      <c r="C54" s="1307">
        <f>'NT-VT'!D57</f>
        <v>0</v>
      </c>
      <c r="D54" s="1308">
        <f>'NT-VT'!E57</f>
        <v>0</v>
      </c>
      <c r="E54" s="1305" t="str">
        <f>'NT-VT'!F57</f>
        <v/>
      </c>
      <c r="F54" s="1305" t="str">
        <f>'NT-VT'!G57</f>
        <v/>
      </c>
      <c r="G54" s="837" t="str">
        <f t="shared" si="0"/>
        <v/>
      </c>
      <c r="H54" s="845"/>
      <c r="I54" s="821"/>
    </row>
    <row r="55" spans="1:9" ht="15.6">
      <c r="A55" s="1305">
        <f>SUM($G$3:G55)</f>
        <v>1</v>
      </c>
      <c r="B55" s="1306" t="e">
        <f>'NT-VT'!C58</f>
        <v>#N/A</v>
      </c>
      <c r="C55" s="1307">
        <f>'NT-VT'!D58</f>
        <v>0</v>
      </c>
      <c r="D55" s="1308">
        <f>'NT-VT'!E58</f>
        <v>0</v>
      </c>
      <c r="E55" s="1305" t="str">
        <f>'NT-VT'!F58</f>
        <v/>
      </c>
      <c r="F55" s="1305" t="str">
        <f>'NT-VT'!G58</f>
        <v/>
      </c>
      <c r="G55" s="837" t="str">
        <f t="shared" si="0"/>
        <v/>
      </c>
      <c r="H55" s="845"/>
      <c r="I55" s="821"/>
    </row>
    <row r="56" spans="1:9" ht="15.6">
      <c r="A56" s="1305">
        <f>SUM($G$3:G56)</f>
        <v>1</v>
      </c>
      <c r="B56" s="1306" t="e">
        <f>'NT-VT'!C59</f>
        <v>#N/A</v>
      </c>
      <c r="C56" s="1307">
        <f>'NT-VT'!D59</f>
        <v>0</v>
      </c>
      <c r="D56" s="1308">
        <f>'NT-VT'!E59</f>
        <v>0</v>
      </c>
      <c r="E56" s="1305" t="str">
        <f>'NT-VT'!F59</f>
        <v/>
      </c>
      <c r="F56" s="1305" t="str">
        <f>'NT-VT'!G59</f>
        <v/>
      </c>
      <c r="G56" s="837" t="str">
        <f t="shared" si="0"/>
        <v/>
      </c>
      <c r="H56" s="845"/>
      <c r="I56" s="821"/>
    </row>
    <row r="57" spans="1:9" ht="15.6">
      <c r="A57" s="1305">
        <f>SUM($G$3:G57)</f>
        <v>1</v>
      </c>
      <c r="B57" s="1306" t="e">
        <f>'NT-VT'!C60</f>
        <v>#N/A</v>
      </c>
      <c r="C57" s="1307">
        <f>'NT-VT'!D60</f>
        <v>0</v>
      </c>
      <c r="D57" s="1308">
        <f>'NT-VT'!E60</f>
        <v>0</v>
      </c>
      <c r="E57" s="1305" t="str">
        <f>'NT-VT'!F60</f>
        <v/>
      </c>
      <c r="F57" s="1305" t="str">
        <f>'NT-VT'!G60</f>
        <v/>
      </c>
      <c r="G57" s="837" t="str">
        <f t="shared" si="0"/>
        <v/>
      </c>
      <c r="H57" s="845"/>
      <c r="I57" s="821"/>
    </row>
    <row r="58" spans="1:9" ht="15.6">
      <c r="A58" s="1305">
        <f>SUM($G$3:G58)</f>
        <v>1</v>
      </c>
      <c r="B58" s="1306" t="e">
        <f>'NT-VT'!C61</f>
        <v>#N/A</v>
      </c>
      <c r="C58" s="1307">
        <f>'NT-VT'!D61</f>
        <v>0</v>
      </c>
      <c r="D58" s="1308">
        <f>'NT-VT'!E61</f>
        <v>0</v>
      </c>
      <c r="E58" s="1305" t="str">
        <f>'NT-VT'!F61</f>
        <v/>
      </c>
      <c r="F58" s="1305" t="str">
        <f>'NT-VT'!G61</f>
        <v/>
      </c>
      <c r="G58" s="837" t="str">
        <f t="shared" si="0"/>
        <v/>
      </c>
      <c r="H58" s="845"/>
      <c r="I58" s="821"/>
    </row>
    <row r="59" spans="1:9" ht="15.6">
      <c r="A59" s="1305">
        <f>SUM($G$3:G59)</f>
        <v>1</v>
      </c>
      <c r="B59" s="1306" t="e">
        <f>'NT-VT'!C62</f>
        <v>#N/A</v>
      </c>
      <c r="C59" s="1307">
        <f>'NT-VT'!D62</f>
        <v>0</v>
      </c>
      <c r="D59" s="1308">
        <f>'NT-VT'!E62</f>
        <v>0</v>
      </c>
      <c r="E59" s="1305" t="str">
        <f>'NT-VT'!F62</f>
        <v/>
      </c>
      <c r="F59" s="1305" t="str">
        <f>'NT-VT'!G62</f>
        <v/>
      </c>
      <c r="G59" s="837" t="str">
        <f t="shared" si="0"/>
        <v/>
      </c>
      <c r="H59" s="845"/>
      <c r="I59" s="821"/>
    </row>
    <row r="60" spans="1:9" ht="15.6">
      <c r="A60" s="1305">
        <f>SUM($G$3:G60)</f>
        <v>1</v>
      </c>
      <c r="B60" s="1306" t="e">
        <f>'NT-VT'!C63</f>
        <v>#N/A</v>
      </c>
      <c r="C60" s="1307">
        <f>'NT-VT'!D63</f>
        <v>0</v>
      </c>
      <c r="D60" s="1308">
        <f>'NT-VT'!E63</f>
        <v>0</v>
      </c>
      <c r="E60" s="1305" t="str">
        <f>'NT-VT'!F63</f>
        <v/>
      </c>
      <c r="F60" s="1305" t="str">
        <f>'NT-VT'!G63</f>
        <v/>
      </c>
      <c r="G60" s="837" t="str">
        <f t="shared" si="0"/>
        <v/>
      </c>
      <c r="H60" s="845"/>
      <c r="I60" s="821"/>
    </row>
    <row r="61" spans="1:9" ht="15.6">
      <c r="A61" s="1305">
        <f>SUM($G$3:G61)</f>
        <v>1</v>
      </c>
      <c r="B61" s="1306" t="e">
        <f>'NT-VT'!C64</f>
        <v>#N/A</v>
      </c>
      <c r="C61" s="1307">
        <f>'NT-VT'!D64</f>
        <v>0</v>
      </c>
      <c r="D61" s="1308">
        <f>'NT-VT'!E64</f>
        <v>0</v>
      </c>
      <c r="E61" s="1305" t="str">
        <f>'NT-VT'!F64</f>
        <v/>
      </c>
      <c r="F61" s="1305" t="str">
        <f>'NT-VT'!G64</f>
        <v/>
      </c>
      <c r="G61" s="837" t="str">
        <f t="shared" si="0"/>
        <v/>
      </c>
      <c r="H61" s="845"/>
      <c r="I61" s="821"/>
    </row>
    <row r="62" spans="1:9" ht="15.6">
      <c r="A62" s="1305">
        <f>SUM($G$3:G62)</f>
        <v>1</v>
      </c>
      <c r="B62" s="1306" t="e">
        <f>'NT-VT'!C65</f>
        <v>#N/A</v>
      </c>
      <c r="C62" s="1307">
        <f>'NT-VT'!D65</f>
        <v>0</v>
      </c>
      <c r="D62" s="1308">
        <f>'NT-VT'!E65</f>
        <v>0</v>
      </c>
      <c r="E62" s="1305" t="str">
        <f>'NT-VT'!F65</f>
        <v/>
      </c>
      <c r="F62" s="1305" t="str">
        <f>'NT-VT'!G65</f>
        <v/>
      </c>
      <c r="G62" s="837" t="str">
        <f t="shared" si="0"/>
        <v/>
      </c>
      <c r="H62" s="845"/>
      <c r="I62" s="821"/>
    </row>
    <row r="63" spans="1:9" ht="15.6">
      <c r="A63" s="1305">
        <f>SUM($G$3:G63)</f>
        <v>1</v>
      </c>
      <c r="B63" s="1306" t="e">
        <f>'NT-VT'!C66</f>
        <v>#N/A</v>
      </c>
      <c r="C63" s="1307">
        <f>'NT-VT'!D66</f>
        <v>0</v>
      </c>
      <c r="D63" s="1308">
        <f>'NT-VT'!E66</f>
        <v>0</v>
      </c>
      <c r="E63" s="1305" t="str">
        <f>'NT-VT'!F66</f>
        <v/>
      </c>
      <c r="F63" s="1305" t="str">
        <f>'NT-VT'!G66</f>
        <v/>
      </c>
      <c r="G63" s="837" t="str">
        <f t="shared" si="0"/>
        <v/>
      </c>
      <c r="H63" s="845"/>
      <c r="I63" s="821"/>
    </row>
    <row r="64" spans="1:9" ht="15.6">
      <c r="A64" s="1305">
        <f>SUM($G$3:G64)</f>
        <v>1</v>
      </c>
      <c r="B64" s="1306" t="e">
        <f>'NT-VT'!C67</f>
        <v>#N/A</v>
      </c>
      <c r="C64" s="1307">
        <f>'NT-VT'!D67</f>
        <v>0</v>
      </c>
      <c r="D64" s="1308">
        <f>'NT-VT'!E67</f>
        <v>0</v>
      </c>
      <c r="E64" s="1305" t="str">
        <f>'NT-VT'!F67</f>
        <v/>
      </c>
      <c r="F64" s="1305" t="str">
        <f>'NT-VT'!G67</f>
        <v/>
      </c>
      <c r="G64" s="837" t="str">
        <f t="shared" si="0"/>
        <v/>
      </c>
      <c r="H64" s="845"/>
      <c r="I64" s="821"/>
    </row>
    <row r="65" spans="1:9" ht="15.6">
      <c r="A65" s="1305">
        <f>SUM($G$3:G65)</f>
        <v>1</v>
      </c>
      <c r="B65" s="1306" t="e">
        <f>'NT-VT'!C68</f>
        <v>#N/A</v>
      </c>
      <c r="C65" s="1307">
        <f>'NT-VT'!D68</f>
        <v>0</v>
      </c>
      <c r="D65" s="1308">
        <f>'NT-VT'!E68</f>
        <v>0</v>
      </c>
      <c r="E65" s="1305" t="str">
        <f>'NT-VT'!F68</f>
        <v/>
      </c>
      <c r="F65" s="1305" t="str">
        <f>'NT-VT'!G68</f>
        <v/>
      </c>
      <c r="G65" s="837" t="str">
        <f t="shared" si="0"/>
        <v/>
      </c>
      <c r="H65" s="845"/>
      <c r="I65" s="821"/>
    </row>
    <row r="66" spans="1:9" ht="15.6" hidden="1">
      <c r="A66" s="1305">
        <f>SUM($G$3:G66)</f>
        <v>1</v>
      </c>
      <c r="B66" s="1306" t="e">
        <f>'NT-VT'!C69</f>
        <v>#N/A</v>
      </c>
      <c r="C66" s="1307">
        <f>'NT-VT'!D69</f>
        <v>0</v>
      </c>
      <c r="D66" s="1308">
        <f>'NT-VT'!E69</f>
        <v>0</v>
      </c>
      <c r="E66" s="1305" t="str">
        <f>'NT-VT'!F69</f>
        <v/>
      </c>
      <c r="F66" s="1305" t="str">
        <f>'NT-VT'!G69</f>
        <v/>
      </c>
      <c r="G66" s="837" t="str">
        <f t="shared" si="0"/>
        <v/>
      </c>
      <c r="H66" s="845"/>
      <c r="I66" s="821"/>
    </row>
    <row r="67" spans="1:9" ht="15.6" hidden="1">
      <c r="A67" s="1305">
        <f>SUM($G$3:G67)</f>
        <v>1</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1</v>
      </c>
      <c r="B68" s="1306" t="e">
        <f>'NT-VT'!C71</f>
        <v>#N/A</v>
      </c>
      <c r="C68" s="1307">
        <f>'NT-VT'!D71</f>
        <v>0</v>
      </c>
      <c r="D68" s="1308">
        <f>'NT-VT'!E71</f>
        <v>0</v>
      </c>
      <c r="E68" s="1305" t="str">
        <f>'NT-VT'!F71</f>
        <v/>
      </c>
      <c r="F68" s="1305" t="str">
        <f>'NT-VT'!G71</f>
        <v/>
      </c>
      <c r="G68" s="837" t="str">
        <f t="shared" si="1"/>
        <v/>
      </c>
      <c r="H68" s="845"/>
      <c r="I68" s="821"/>
    </row>
    <row r="69" spans="1:9" ht="15.6" hidden="1">
      <c r="A69" s="1305">
        <f>SUM($G$3:G69)</f>
        <v>1</v>
      </c>
      <c r="B69" s="1306" t="e">
        <f>'NT-VT'!C72</f>
        <v>#N/A</v>
      </c>
      <c r="C69" s="1307">
        <f>'NT-VT'!D72</f>
        <v>0</v>
      </c>
      <c r="D69" s="1308">
        <f>'NT-VT'!E72</f>
        <v>0</v>
      </c>
      <c r="E69" s="1305" t="str">
        <f>'NT-VT'!F72</f>
        <v/>
      </c>
      <c r="F69" s="1305" t="str">
        <f>'NT-VT'!G72</f>
        <v/>
      </c>
      <c r="G69" s="837" t="str">
        <f t="shared" si="1"/>
        <v/>
      </c>
      <c r="H69" s="845"/>
      <c r="I69" s="821"/>
    </row>
    <row r="70" spans="1:9" ht="15.6" hidden="1">
      <c r="A70" s="1305">
        <f>SUM($G$3:G70)</f>
        <v>1</v>
      </c>
      <c r="B70" s="1306" t="e">
        <f>'NT-VT'!C73</f>
        <v>#N/A</v>
      </c>
      <c r="C70" s="1307">
        <f>'NT-VT'!D73</f>
        <v>0</v>
      </c>
      <c r="D70" s="1308">
        <f>'NT-VT'!E73</f>
        <v>0</v>
      </c>
      <c r="E70" s="1305" t="str">
        <f>'NT-VT'!F73</f>
        <v/>
      </c>
      <c r="F70" s="1305" t="str">
        <f>'NT-VT'!G73</f>
        <v/>
      </c>
      <c r="G70" s="837" t="str">
        <f t="shared" si="1"/>
        <v/>
      </c>
      <c r="H70" s="845"/>
      <c r="I70" s="821"/>
    </row>
    <row r="71" spans="1:9" ht="15.6" hidden="1">
      <c r="A71" s="1305">
        <f>SUM($G$3:G71)</f>
        <v>1</v>
      </c>
      <c r="B71" s="1306" t="e">
        <f>'NT-VT'!C74</f>
        <v>#N/A</v>
      </c>
      <c r="C71" s="1307">
        <f>'NT-VT'!D74</f>
        <v>0</v>
      </c>
      <c r="D71" s="1308">
        <f>'NT-VT'!E74</f>
        <v>0</v>
      </c>
      <c r="E71" s="1305" t="str">
        <f>'NT-VT'!F74</f>
        <v/>
      </c>
      <c r="F71" s="1305" t="str">
        <f>'NT-VT'!G74</f>
        <v/>
      </c>
      <c r="G71" s="837" t="str">
        <f t="shared" si="1"/>
        <v/>
      </c>
      <c r="H71" s="845"/>
      <c r="I71" s="821"/>
    </row>
    <row r="72" spans="1:9" ht="15.6" hidden="1">
      <c r="A72" s="1305">
        <f>SUM($G$3:G72)</f>
        <v>1</v>
      </c>
      <c r="B72" s="1306" t="e">
        <f>'NT-VT'!C75</f>
        <v>#N/A</v>
      </c>
      <c r="C72" s="1307">
        <f>'NT-VT'!D75</f>
        <v>0</v>
      </c>
      <c r="D72" s="1308">
        <f>'NT-VT'!E75</f>
        <v>0</v>
      </c>
      <c r="E72" s="1305" t="str">
        <f>'NT-VT'!F75</f>
        <v/>
      </c>
      <c r="F72" s="1305" t="str">
        <f>'NT-VT'!G75</f>
        <v/>
      </c>
      <c r="G72" s="837" t="str">
        <f t="shared" si="1"/>
        <v/>
      </c>
      <c r="H72" s="845"/>
      <c r="I72" s="821"/>
    </row>
    <row r="73" spans="1:9" ht="15.6" hidden="1">
      <c r="A73" s="1305">
        <f>SUM($G$3:G73)</f>
        <v>1</v>
      </c>
      <c r="B73" s="1306" t="e">
        <f>'NT-VT'!C76</f>
        <v>#N/A</v>
      </c>
      <c r="C73" s="1307">
        <f>'NT-VT'!D76</f>
        <v>0</v>
      </c>
      <c r="D73" s="1308">
        <f>'NT-VT'!E76</f>
        <v>0</v>
      </c>
      <c r="E73" s="1305" t="str">
        <f>'NT-VT'!F76</f>
        <v/>
      </c>
      <c r="F73" s="1305" t="str">
        <f>'NT-VT'!G76</f>
        <v/>
      </c>
      <c r="G73" s="837" t="str">
        <f t="shared" si="1"/>
        <v/>
      </c>
      <c r="H73" s="845"/>
      <c r="I73" s="821"/>
    </row>
    <row r="74" spans="1:9" ht="15.6" hidden="1">
      <c r="A74" s="1305">
        <f>SUM($G$3:G74)</f>
        <v>1</v>
      </c>
      <c r="B74" s="1306" t="e">
        <f>'NT-VT'!C77</f>
        <v>#N/A</v>
      </c>
      <c r="C74" s="1307">
        <f>'NT-VT'!D77</f>
        <v>0</v>
      </c>
      <c r="D74" s="1308">
        <f>'NT-VT'!E77</f>
        <v>0</v>
      </c>
      <c r="E74" s="1305" t="str">
        <f>'NT-VT'!F77</f>
        <v/>
      </c>
      <c r="F74" s="1305" t="str">
        <f>'NT-VT'!G77</f>
        <v/>
      </c>
      <c r="G74" s="837" t="str">
        <f t="shared" si="1"/>
        <v/>
      </c>
      <c r="H74" s="845"/>
      <c r="I74" s="821"/>
    </row>
    <row r="75" spans="1:9" ht="15.6" hidden="1">
      <c r="A75" s="1305">
        <f>SUM($G$3:G75)</f>
        <v>1</v>
      </c>
      <c r="B75" s="1306" t="e">
        <f>'NT-VT'!C78</f>
        <v>#N/A</v>
      </c>
      <c r="C75" s="1307">
        <f>'NT-VT'!D78</f>
        <v>0</v>
      </c>
      <c r="D75" s="1308">
        <f>'NT-VT'!E78</f>
        <v>0</v>
      </c>
      <c r="E75" s="1305" t="str">
        <f>'NT-VT'!F78</f>
        <v/>
      </c>
      <c r="F75" s="1305" t="str">
        <f>'NT-VT'!G78</f>
        <v/>
      </c>
      <c r="G75" s="837" t="str">
        <f t="shared" si="1"/>
        <v/>
      </c>
      <c r="H75" s="845"/>
      <c r="I75" s="821"/>
    </row>
    <row r="76" spans="1:9" ht="15.6" hidden="1">
      <c r="A76" s="1305">
        <f>SUM($G$3:G76)</f>
        <v>1</v>
      </c>
      <c r="B76" s="1306" t="e">
        <f>'NT-VT'!C79</f>
        <v>#N/A</v>
      </c>
      <c r="C76" s="1307">
        <f>'NT-VT'!D79</f>
        <v>0</v>
      </c>
      <c r="D76" s="1308">
        <f>'NT-VT'!E79</f>
        <v>0</v>
      </c>
      <c r="E76" s="1305" t="str">
        <f>'NT-VT'!F79</f>
        <v/>
      </c>
      <c r="F76" s="1305" t="str">
        <f>'NT-VT'!G79</f>
        <v/>
      </c>
      <c r="G76" s="837" t="str">
        <f t="shared" si="1"/>
        <v/>
      </c>
      <c r="H76" s="845"/>
      <c r="I76" s="821"/>
    </row>
    <row r="77" spans="1:9" ht="15.6" hidden="1">
      <c r="A77" s="1305">
        <f>SUM($G$3:G77)</f>
        <v>1</v>
      </c>
      <c r="B77" s="1306" t="e">
        <f>'NT-VT'!C80</f>
        <v>#N/A</v>
      </c>
      <c r="C77" s="1307">
        <f>'NT-VT'!D80</f>
        <v>0</v>
      </c>
      <c r="D77" s="1308">
        <f>'NT-VT'!E80</f>
        <v>0</v>
      </c>
      <c r="E77" s="1305" t="str">
        <f>'NT-VT'!F80</f>
        <v/>
      </c>
      <c r="F77" s="1305" t="str">
        <f>'NT-VT'!G80</f>
        <v/>
      </c>
      <c r="G77" s="837" t="str">
        <f t="shared" si="1"/>
        <v/>
      </c>
      <c r="H77" s="845"/>
      <c r="I77" s="821"/>
    </row>
    <row r="78" spans="1:9" ht="15.6" hidden="1">
      <c r="A78" s="1305">
        <f>SUM($G$3:G78)</f>
        <v>1</v>
      </c>
      <c r="B78" s="1306" t="e">
        <f>'NT-VT'!C81</f>
        <v>#N/A</v>
      </c>
      <c r="C78" s="1307">
        <f>'NT-VT'!D81</f>
        <v>0</v>
      </c>
      <c r="D78" s="1308">
        <f>'NT-VT'!E81</f>
        <v>0</v>
      </c>
      <c r="E78" s="1305" t="str">
        <f>'NT-VT'!F81</f>
        <v/>
      </c>
      <c r="F78" s="1305" t="str">
        <f>'NT-VT'!G81</f>
        <v/>
      </c>
      <c r="G78" s="837" t="str">
        <f t="shared" si="1"/>
        <v/>
      </c>
      <c r="H78" s="845"/>
      <c r="I78" s="821"/>
    </row>
    <row r="79" spans="1:9" ht="15.6" hidden="1">
      <c r="A79" s="1305">
        <f>SUM($G$3:G79)</f>
        <v>1</v>
      </c>
      <c r="B79" s="1306" t="e">
        <f>'NT-VT'!C82</f>
        <v>#N/A</v>
      </c>
      <c r="C79" s="1307">
        <f>'NT-VT'!D82</f>
        <v>0</v>
      </c>
      <c r="D79" s="1308">
        <f>'NT-VT'!E82</f>
        <v>0</v>
      </c>
      <c r="E79" s="1305" t="str">
        <f>'NT-VT'!F82</f>
        <v/>
      </c>
      <c r="F79" s="1305" t="str">
        <f>'NT-VT'!G82</f>
        <v/>
      </c>
      <c r="G79" s="837" t="str">
        <f t="shared" si="1"/>
        <v/>
      </c>
      <c r="H79" s="845"/>
      <c r="I79" s="821"/>
    </row>
    <row r="80" spans="1:9" ht="15.6" hidden="1">
      <c r="A80" s="1305">
        <f>SUM($G$3:G80)</f>
        <v>1</v>
      </c>
      <c r="B80" s="1306" t="e">
        <f>'NT-VT'!C83</f>
        <v>#N/A</v>
      </c>
      <c r="C80" s="1307">
        <f>'NT-VT'!D83</f>
        <v>0</v>
      </c>
      <c r="D80" s="1308">
        <f>'NT-VT'!E83</f>
        <v>0</v>
      </c>
      <c r="E80" s="1305" t="str">
        <f>'NT-VT'!F83</f>
        <v/>
      </c>
      <c r="F80" s="1305" t="str">
        <f>'NT-VT'!G83</f>
        <v/>
      </c>
      <c r="G80" s="837" t="str">
        <f t="shared" si="1"/>
        <v/>
      </c>
      <c r="H80" s="845"/>
      <c r="I80" s="821"/>
    </row>
    <row r="81" spans="1:9" ht="15.6" hidden="1">
      <c r="A81" s="1305">
        <f>SUM($G$3:G81)</f>
        <v>1</v>
      </c>
      <c r="B81" s="1306" t="e">
        <f>'NT-VT'!C84</f>
        <v>#N/A</v>
      </c>
      <c r="C81" s="1307">
        <f>'NT-VT'!D84</f>
        <v>0</v>
      </c>
      <c r="D81" s="1308">
        <f>'NT-VT'!E84</f>
        <v>0</v>
      </c>
      <c r="E81" s="1305" t="str">
        <f>'NT-VT'!F84</f>
        <v/>
      </c>
      <c r="F81" s="1305" t="str">
        <f>'NT-VT'!G84</f>
        <v/>
      </c>
      <c r="G81" s="837" t="str">
        <f t="shared" si="1"/>
        <v/>
      </c>
      <c r="H81" s="845"/>
      <c r="I81" s="821"/>
    </row>
    <row r="82" spans="1:9" ht="15.6" hidden="1">
      <c r="A82" s="1305">
        <f>SUM($G$3:G82)</f>
        <v>1</v>
      </c>
      <c r="B82" s="1306" t="e">
        <f>'NT-VT'!C85</f>
        <v>#N/A</v>
      </c>
      <c r="C82" s="1307">
        <f>'NT-VT'!D85</f>
        <v>0</v>
      </c>
      <c r="D82" s="1308">
        <f>'NT-VT'!E85</f>
        <v>0</v>
      </c>
      <c r="E82" s="1305" t="str">
        <f>'NT-VT'!F85</f>
        <v/>
      </c>
      <c r="F82" s="1305" t="str">
        <f>'NT-VT'!G85</f>
        <v/>
      </c>
      <c r="G82" s="837" t="str">
        <f t="shared" si="1"/>
        <v/>
      </c>
      <c r="H82" s="845"/>
      <c r="I82" s="821"/>
    </row>
    <row r="83" spans="1:9" ht="15.6" hidden="1">
      <c r="A83" s="1305">
        <f>SUM($G$3:G83)</f>
        <v>1</v>
      </c>
      <c r="B83" s="1306" t="e">
        <f>'NT-VT'!C86</f>
        <v>#N/A</v>
      </c>
      <c r="C83" s="1307">
        <f>'NT-VT'!D86</f>
        <v>0</v>
      </c>
      <c r="D83" s="1308">
        <f>'NT-VT'!E86</f>
        <v>0</v>
      </c>
      <c r="E83" s="1305" t="str">
        <f>'NT-VT'!F86</f>
        <v/>
      </c>
      <c r="F83" s="1305" t="str">
        <f>'NT-VT'!G86</f>
        <v/>
      </c>
      <c r="G83" s="837" t="str">
        <f t="shared" si="1"/>
        <v/>
      </c>
      <c r="H83" s="845"/>
      <c r="I83" s="821"/>
    </row>
    <row r="84" spans="1:9" ht="15.6" hidden="1">
      <c r="A84" s="1305">
        <f>SUM($G$3:G84)</f>
        <v>1</v>
      </c>
      <c r="B84" s="1306" t="e">
        <f>'NT-VT'!C87</f>
        <v>#N/A</v>
      </c>
      <c r="C84" s="1307">
        <f>'NT-VT'!D87</f>
        <v>0</v>
      </c>
      <c r="D84" s="1308">
        <f>'NT-VT'!E87</f>
        <v>0</v>
      </c>
      <c r="E84" s="1305" t="str">
        <f>'NT-VT'!F87</f>
        <v/>
      </c>
      <c r="F84" s="1305" t="str">
        <f>'NT-VT'!G87</f>
        <v/>
      </c>
      <c r="G84" s="837" t="str">
        <f t="shared" si="1"/>
        <v/>
      </c>
      <c r="H84" s="845"/>
      <c r="I84" s="821"/>
    </row>
    <row r="85" spans="1:9" ht="15.6" hidden="1">
      <c r="A85" s="1305">
        <f>SUM($G$3:G85)</f>
        <v>1</v>
      </c>
      <c r="B85" s="1306" t="e">
        <f>'NT-VT'!C88</f>
        <v>#N/A</v>
      </c>
      <c r="C85" s="1307">
        <f>'NT-VT'!D88</f>
        <v>0</v>
      </c>
      <c r="D85" s="1308">
        <f>'NT-VT'!E88</f>
        <v>0</v>
      </c>
      <c r="E85" s="1305" t="str">
        <f>'NT-VT'!F88</f>
        <v/>
      </c>
      <c r="F85" s="1305" t="str">
        <f>'NT-VT'!G88</f>
        <v/>
      </c>
      <c r="G85" s="837" t="str">
        <f t="shared" si="1"/>
        <v/>
      </c>
      <c r="H85" s="845"/>
      <c r="I85" s="821"/>
    </row>
    <row r="86" spans="1:9" ht="15.6" hidden="1">
      <c r="A86" s="1305">
        <f>SUM($G$3:G86)</f>
        <v>1</v>
      </c>
      <c r="B86" s="1306" t="e">
        <f>'NT-VT'!C89</f>
        <v>#N/A</v>
      </c>
      <c r="C86" s="1307">
        <f>'NT-VT'!D89</f>
        <v>0</v>
      </c>
      <c r="D86" s="1308">
        <f>'NT-VT'!E89</f>
        <v>0</v>
      </c>
      <c r="E86" s="1305" t="str">
        <f>'NT-VT'!F89</f>
        <v/>
      </c>
      <c r="F86" s="1305" t="str">
        <f>'NT-VT'!G89</f>
        <v/>
      </c>
      <c r="G86" s="837" t="str">
        <f t="shared" si="1"/>
        <v/>
      </c>
      <c r="H86" s="845"/>
      <c r="I86" s="821"/>
    </row>
    <row r="87" spans="1:9" ht="15.6" hidden="1">
      <c r="A87" s="1305">
        <f>SUM($G$3:G87)</f>
        <v>1</v>
      </c>
      <c r="B87" s="1306" t="e">
        <f>'NT-VT'!C90</f>
        <v>#N/A</v>
      </c>
      <c r="C87" s="1307">
        <f>'NT-VT'!D90</f>
        <v>0</v>
      </c>
      <c r="D87" s="1308">
        <f>'NT-VT'!E90</f>
        <v>0</v>
      </c>
      <c r="E87" s="1305" t="str">
        <f>'NT-VT'!F90</f>
        <v/>
      </c>
      <c r="F87" s="1305" t="str">
        <f>'NT-VT'!G90</f>
        <v/>
      </c>
      <c r="G87" s="837" t="str">
        <f t="shared" si="1"/>
        <v/>
      </c>
      <c r="H87" s="845"/>
      <c r="I87" s="821"/>
    </row>
    <row r="88" spans="1:9" ht="15.6" hidden="1">
      <c r="A88" s="1305">
        <f>SUM($G$3:G88)</f>
        <v>1</v>
      </c>
      <c r="B88" s="1306" t="e">
        <f>'NT-VT'!C91</f>
        <v>#N/A</v>
      </c>
      <c r="C88" s="1307">
        <f>'NT-VT'!D91</f>
        <v>0</v>
      </c>
      <c r="D88" s="1308">
        <f>'NT-VT'!E91</f>
        <v>0</v>
      </c>
      <c r="E88" s="1305" t="str">
        <f>'NT-VT'!F91</f>
        <v/>
      </c>
      <c r="F88" s="1305" t="str">
        <f>'NT-VT'!G91</f>
        <v/>
      </c>
      <c r="G88" s="837" t="str">
        <f t="shared" si="1"/>
        <v/>
      </c>
      <c r="H88" s="845"/>
      <c r="I88" s="821"/>
    </row>
    <row r="89" spans="1:9" ht="15.6" hidden="1">
      <c r="A89" s="1305">
        <f>SUM($G$3:G89)</f>
        <v>1</v>
      </c>
      <c r="B89" s="1306" t="e">
        <f>'NT-VT'!C92</f>
        <v>#N/A</v>
      </c>
      <c r="C89" s="1307">
        <f>'NT-VT'!D92</f>
        <v>0</v>
      </c>
      <c r="D89" s="1308">
        <f>'NT-VT'!E92</f>
        <v>0</v>
      </c>
      <c r="E89" s="1305" t="str">
        <f>'NT-VT'!F92</f>
        <v/>
      </c>
      <c r="F89" s="1305" t="str">
        <f>'NT-VT'!G92</f>
        <v/>
      </c>
      <c r="G89" s="837" t="str">
        <f t="shared" si="1"/>
        <v/>
      </c>
      <c r="H89" s="845"/>
      <c r="I89" s="821"/>
    </row>
    <row r="90" spans="1:9" ht="15.6" hidden="1">
      <c r="A90" s="1305">
        <f>SUM($G$3:G90)</f>
        <v>1</v>
      </c>
      <c r="B90" s="1306" t="e">
        <f>'NT-VT'!C93</f>
        <v>#N/A</v>
      </c>
      <c r="C90" s="1307">
        <f>'NT-VT'!D93</f>
        <v>0</v>
      </c>
      <c r="D90" s="1308">
        <f>'NT-VT'!E93</f>
        <v>0</v>
      </c>
      <c r="E90" s="1305" t="str">
        <f>'NT-VT'!F93</f>
        <v/>
      </c>
      <c r="F90" s="1305" t="str">
        <f>'NT-VT'!G93</f>
        <v/>
      </c>
      <c r="G90" s="837" t="str">
        <f t="shared" si="1"/>
        <v/>
      </c>
      <c r="H90" s="845"/>
      <c r="I90" s="821"/>
    </row>
    <row r="91" spans="1:9" ht="15.6" hidden="1">
      <c r="A91" s="1305">
        <f>SUM($G$3:G91)</f>
        <v>1</v>
      </c>
      <c r="B91" s="1306" t="e">
        <f>'NT-VT'!C94</f>
        <v>#N/A</v>
      </c>
      <c r="C91" s="1307">
        <f>'NT-VT'!D94</f>
        <v>0</v>
      </c>
      <c r="D91" s="1308">
        <f>'NT-VT'!E94</f>
        <v>0</v>
      </c>
      <c r="E91" s="1305" t="str">
        <f>'NT-VT'!F94</f>
        <v/>
      </c>
      <c r="F91" s="1305" t="str">
        <f>'NT-VT'!G94</f>
        <v/>
      </c>
      <c r="G91" s="837" t="str">
        <f t="shared" si="1"/>
        <v/>
      </c>
      <c r="H91" s="845"/>
      <c r="I91" s="821"/>
    </row>
    <row r="92" spans="1:9" ht="15.6" hidden="1">
      <c r="A92" s="1305">
        <f>SUM($G$3:G92)</f>
        <v>1</v>
      </c>
      <c r="B92" s="1306" t="e">
        <f>'NT-VT'!C95</f>
        <v>#N/A</v>
      </c>
      <c r="C92" s="1307">
        <f>'NT-VT'!D95</f>
        <v>0</v>
      </c>
      <c r="D92" s="2679">
        <f>'NT-VT'!E95</f>
        <v>0</v>
      </c>
      <c r="E92" s="1305" t="str">
        <f>'NT-VT'!F95</f>
        <v/>
      </c>
      <c r="F92" s="1305" t="str">
        <f>'NT-VT'!G95</f>
        <v/>
      </c>
      <c r="G92" s="837" t="str">
        <f t="shared" si="1"/>
        <v/>
      </c>
      <c r="H92" s="845"/>
      <c r="I92" s="821"/>
    </row>
    <row r="93" spans="1:9" ht="15.6" hidden="1">
      <c r="A93" s="1305">
        <f>SUM($G$3:G93)</f>
        <v>1</v>
      </c>
      <c r="B93" s="1306" t="e">
        <f>'NT-VT'!C96</f>
        <v>#N/A</v>
      </c>
      <c r="C93" s="1307">
        <f>'NT-VT'!D96</f>
        <v>0</v>
      </c>
      <c r="D93" s="2679">
        <f>'NT-VT'!E96</f>
        <v>0</v>
      </c>
      <c r="E93" s="1305" t="str">
        <f>'NT-VT'!F96</f>
        <v/>
      </c>
      <c r="F93" s="1305" t="str">
        <f>'NT-VT'!G96</f>
        <v/>
      </c>
      <c r="G93" s="837" t="str">
        <f t="shared" si="1"/>
        <v/>
      </c>
      <c r="H93" s="845"/>
      <c r="I93" s="821"/>
    </row>
    <row r="94" spans="1:9" ht="15.6" hidden="1">
      <c r="A94" s="1305">
        <f>SUM($G$3:G94)</f>
        <v>1</v>
      </c>
      <c r="B94" s="1306" t="e">
        <f>'NT-VT'!C97</f>
        <v>#N/A</v>
      </c>
      <c r="C94" s="1307">
        <f>'NT-VT'!D97</f>
        <v>0</v>
      </c>
      <c r="D94" s="2679">
        <f>'NT-VT'!E97</f>
        <v>0</v>
      </c>
      <c r="E94" s="1305" t="str">
        <f>'NT-VT'!F97</f>
        <v/>
      </c>
      <c r="F94" s="1305" t="str">
        <f>'NT-VT'!G97</f>
        <v/>
      </c>
      <c r="G94" s="837" t="str">
        <f t="shared" ref="G94:G124" si="2">IF(ISERROR(B94),"",1)</f>
        <v/>
      </c>
      <c r="H94" s="845"/>
      <c r="I94" s="821"/>
    </row>
    <row r="95" spans="1:9" ht="15.6" hidden="1">
      <c r="A95" s="1305">
        <f>SUM($G$3:G95)</f>
        <v>1</v>
      </c>
      <c r="B95" s="1306" t="e">
        <f>'NT-VT'!C98</f>
        <v>#N/A</v>
      </c>
      <c r="C95" s="1307">
        <f>'NT-VT'!D98</f>
        <v>0</v>
      </c>
      <c r="D95" s="2074">
        <f>'NT-VT'!E98</f>
        <v>0</v>
      </c>
      <c r="E95" s="1305" t="str">
        <f>'NT-VT'!F98</f>
        <v/>
      </c>
      <c r="F95" s="1305" t="str">
        <f>'NT-VT'!G98</f>
        <v/>
      </c>
      <c r="G95" s="837" t="str">
        <f t="shared" si="2"/>
        <v/>
      </c>
      <c r="H95" s="845"/>
      <c r="I95" s="821"/>
    </row>
    <row r="96" spans="1:9" ht="15.6" hidden="1">
      <c r="A96" s="1305">
        <f>SUM($G$3:G96)</f>
        <v>1</v>
      </c>
      <c r="B96" s="1306" t="e">
        <f>'NT-VT'!C99</f>
        <v>#N/A</v>
      </c>
      <c r="C96" s="1307">
        <f>'NT-VT'!D99</f>
        <v>0</v>
      </c>
      <c r="D96" s="2074">
        <f>'NT-VT'!E99</f>
        <v>0</v>
      </c>
      <c r="E96" s="1305" t="str">
        <f>'NT-VT'!F99</f>
        <v/>
      </c>
      <c r="F96" s="1305" t="str">
        <f>'NT-VT'!G99</f>
        <v/>
      </c>
      <c r="G96" s="837" t="str">
        <f t="shared" si="2"/>
        <v/>
      </c>
      <c r="H96" s="845"/>
      <c r="I96" s="821"/>
    </row>
    <row r="97" spans="1:9" ht="15.6" hidden="1">
      <c r="A97" s="1305">
        <f>SUM($G$3:G97)</f>
        <v>1</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1</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1</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1</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1</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1</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1</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1</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1</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1</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1</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1</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1</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1</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1</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1</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1</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1</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1</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1</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1</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1</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1</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1</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1</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1</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1</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workbookViewId="0">
      <selection activeCell="F4" sqref="F4"/>
    </sheetView>
  </sheetViews>
  <sheetFormatPr defaultRowHeight="16.8"/>
  <cols>
    <col min="3" max="3" width="4.6328125" style="1610" customWidth="1"/>
    <col min="4" max="4" width="28.08984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6549</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6550</v>
      </c>
      <c r="E15" s="2934"/>
      <c r="F15" s="2934"/>
      <c r="G15" s="2934"/>
      <c r="H15" s="774"/>
    </row>
    <row r="16" spans="3:8" ht="21.6" customHeight="1">
      <c r="C16" s="1611"/>
      <c r="D16" s="1604" t="str">
        <f>chitiet!F244</f>
        <v>Móng M12</v>
      </c>
      <c r="E16" s="774" t="str">
        <f>chitiet!G244</f>
        <v>Móng</v>
      </c>
      <c r="F16" s="774">
        <f>chitiet!H244</f>
        <v>8</v>
      </c>
      <c r="G16" s="774">
        <f>chitiet!$P$244</f>
        <v>8</v>
      </c>
      <c r="H16" s="774"/>
    </row>
    <row r="17" spans="3:8" ht="21.6" customHeight="1">
      <c r="C17" s="1611"/>
      <c r="D17" s="1604" t="str">
        <f>chitiet!F356</f>
        <v>Móng bê tông trụ đôi 12m</v>
      </c>
      <c r="E17" s="774" t="str">
        <f>chitiet!G356</f>
        <v>Móng</v>
      </c>
      <c r="F17" s="774">
        <f>chitiet!H356</f>
        <v>2</v>
      </c>
      <c r="G17" s="774">
        <f>chitiet!$P$356</f>
        <v>2</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G65" sqref="G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8" t="s">
        <v>1708</v>
      </c>
      <c r="E3" s="1798" t="s">
        <v>4198</v>
      </c>
      <c r="F3" s="1798" t="s">
        <v>4201</v>
      </c>
      <c r="G3" s="1798" t="s">
        <v>4897</v>
      </c>
      <c r="H3" s="1798" t="s">
        <v>4169</v>
      </c>
      <c r="I3" s="1383" t="s">
        <v>4202</v>
      </c>
      <c r="J3" s="1798" t="s">
        <v>4168</v>
      </c>
      <c r="K3" s="1321">
        <v>2</v>
      </c>
    </row>
    <row r="4" spans="1:15" ht="20.399999999999999" hidden="1" customHeight="1">
      <c r="A4" s="1211" t="str">
        <f>N4&amp;B4</f>
        <v>81</v>
      </c>
      <c r="B4">
        <v>1</v>
      </c>
      <c r="C4" s="963" t="s">
        <v>1627</v>
      </c>
      <c r="D4" s="1318">
        <f ca="1">SUM($K$4:K4)</f>
        <v>0</v>
      </c>
      <c r="E4" s="2043" t="e">
        <f t="shared" ref="E4:E35" si="0">VLOOKUP(C4,KhoiLuong,5,0)</f>
        <v>#N/A</v>
      </c>
      <c r="F4" s="1797" t="e">
        <f>VLOOKUP(C4,KhoiLuong,6,0)</f>
        <v>#N/A</v>
      </c>
      <c r="G4" s="1322">
        <f ca="1">SUMIF(KhoiLuong,C4,DuToan)</f>
        <v>0</v>
      </c>
      <c r="H4" s="1322">
        <f ca="1">SUMIF(KhoiLuong,C4,ThiCong)</f>
        <v>0</v>
      </c>
      <c r="I4" s="1322" t="str">
        <f ca="1">Solieu!$B$3</f>
        <v/>
      </c>
      <c r="J4" s="1319"/>
      <c r="K4" t="str">
        <f t="shared" ref="K4:K12" ca="1" si="1">IF(OR(G4&gt;0,H4&gt;0),1,"")</f>
        <v/>
      </c>
      <c r="L4" s="893">
        <v>4</v>
      </c>
      <c r="M4">
        <v>9</v>
      </c>
      <c r="N4">
        <v>8</v>
      </c>
      <c r="O4" s="2036">
        <f ca="1">G4</f>
        <v>0</v>
      </c>
    </row>
    <row r="5" spans="1:15" ht="20.399999999999999" hidden="1" customHeight="1">
      <c r="A5" s="1211" t="str">
        <f t="shared" ref="A5:A12" si="2">N5&amp;B5</f>
        <v>81</v>
      </c>
      <c r="B5">
        <v>1</v>
      </c>
      <c r="C5" s="963" t="s">
        <v>242</v>
      </c>
      <c r="D5" s="1797">
        <f ca="1">SUM($K$4:K5)</f>
        <v>0</v>
      </c>
      <c r="E5" s="2043" t="e">
        <f t="shared" si="0"/>
        <v>#N/A</v>
      </c>
      <c r="F5" s="1797" t="e">
        <f t="shared" ref="F5:F13" si="3">VLOOKUP(C5,KhoiLuong,6,0)</f>
        <v>#N/A</v>
      </c>
      <c r="G5" s="1322">
        <f t="shared" ref="G5:G13" ca="1" si="4">SUMIF(KhoiLuong,C5,DuToan)</f>
        <v>0</v>
      </c>
      <c r="H5" s="1322">
        <f t="shared" ref="H5:H13" ca="1" si="5">SUMIF(KhoiLuong,C5,ThiCong)</f>
        <v>0</v>
      </c>
      <c r="I5" s="1322" t="str">
        <f ca="1">Solieu!$B$3</f>
        <v/>
      </c>
      <c r="J5" s="1319"/>
      <c r="K5" s="1211" t="str">
        <f t="shared" ca="1" si="1"/>
        <v/>
      </c>
      <c r="L5" s="893">
        <v>1</v>
      </c>
      <c r="M5">
        <v>2</v>
      </c>
      <c r="N5">
        <v>8</v>
      </c>
      <c r="O5" s="2036">
        <f t="shared" ref="O5:O12" ca="1" si="6">G5</f>
        <v>0</v>
      </c>
    </row>
    <row r="6" spans="1:15" ht="20.399999999999999" hidden="1" customHeight="1">
      <c r="A6" s="1211" t="str">
        <f t="shared" si="2"/>
        <v>121</v>
      </c>
      <c r="B6" s="1211">
        <v>1</v>
      </c>
      <c r="C6" s="963" t="s">
        <v>87</v>
      </c>
      <c r="D6" s="1797">
        <f ca="1">SUM($K$4:K6)</f>
        <v>0</v>
      </c>
      <c r="E6" s="2043" t="e">
        <f t="shared" si="0"/>
        <v>#N/A</v>
      </c>
      <c r="F6" s="1797" t="e">
        <f t="shared" si="3"/>
        <v>#N/A</v>
      </c>
      <c r="G6" s="1322">
        <f t="shared" ca="1" si="4"/>
        <v>0</v>
      </c>
      <c r="H6" s="1322">
        <f t="shared" ca="1" si="5"/>
        <v>0</v>
      </c>
      <c r="I6" s="1322" t="str">
        <f ca="1">Solieu!$B$3</f>
        <v/>
      </c>
      <c r="J6" s="1319"/>
      <c r="K6" s="1211" t="str">
        <f t="shared" ca="1" si="1"/>
        <v/>
      </c>
      <c r="L6" s="893">
        <v>15</v>
      </c>
      <c r="M6">
        <v>24</v>
      </c>
      <c r="N6">
        <v>12</v>
      </c>
      <c r="O6" s="2036">
        <f t="shared" ca="1" si="6"/>
        <v>0</v>
      </c>
    </row>
    <row r="7" spans="1:15" s="1211" customFormat="1" ht="20.399999999999999" hidden="1" customHeight="1">
      <c r="A7" s="1211" t="str">
        <f t="shared" si="2"/>
        <v>121</v>
      </c>
      <c r="B7" s="1211">
        <v>1</v>
      </c>
      <c r="C7" s="963" t="s">
        <v>102</v>
      </c>
      <c r="D7" s="1797">
        <f ca="1">SUM($K$4:K7)</f>
        <v>0</v>
      </c>
      <c r="E7" s="2043" t="e">
        <f t="shared" si="0"/>
        <v>#N/A</v>
      </c>
      <c r="F7" s="1797" t="e">
        <f t="shared" si="3"/>
        <v>#N/A</v>
      </c>
      <c r="G7" s="1322">
        <f t="shared" ca="1" si="4"/>
        <v>0</v>
      </c>
      <c r="H7" s="1322">
        <f t="shared" ca="1" si="5"/>
        <v>0</v>
      </c>
      <c r="I7" s="1322" t="str">
        <f ca="1">Solieu!$B$3</f>
        <v/>
      </c>
      <c r="J7" s="1319"/>
      <c r="K7" s="1211" t="str">
        <f t="shared" ca="1" si="1"/>
        <v/>
      </c>
      <c r="L7" s="893">
        <v>1</v>
      </c>
      <c r="M7" s="1211">
        <v>1</v>
      </c>
      <c r="N7" s="1211">
        <v>12</v>
      </c>
      <c r="O7" s="2036">
        <f t="shared" ca="1" si="6"/>
        <v>0</v>
      </c>
    </row>
    <row r="8" spans="1:15" s="1211" customFormat="1" ht="20.399999999999999" hidden="1" customHeight="1">
      <c r="A8" s="1211" t="str">
        <f t="shared" si="2"/>
        <v>121</v>
      </c>
      <c r="B8" s="1211">
        <v>1</v>
      </c>
      <c r="C8" s="963" t="s">
        <v>762</v>
      </c>
      <c r="D8" s="1797">
        <f ca="1">SUM($K$4:K8)</f>
        <v>0</v>
      </c>
      <c r="E8" s="2043" t="e">
        <f t="shared" si="0"/>
        <v>#N/A</v>
      </c>
      <c r="F8" s="1797" t="e">
        <f t="shared" si="3"/>
        <v>#N/A</v>
      </c>
      <c r="G8" s="1322">
        <f t="shared" ca="1" si="4"/>
        <v>0</v>
      </c>
      <c r="H8" s="1322">
        <f t="shared" ca="1" si="5"/>
        <v>0</v>
      </c>
      <c r="I8" s="1322" t="str">
        <f ca="1">Solieu!$B$3</f>
        <v/>
      </c>
      <c r="J8" s="1319"/>
      <c r="K8" s="1211" t="str">
        <f t="shared" ca="1" si="1"/>
        <v/>
      </c>
      <c r="L8" s="893">
        <v>2</v>
      </c>
      <c r="M8" s="1211">
        <v>7</v>
      </c>
      <c r="N8" s="1211">
        <v>12</v>
      </c>
      <c r="O8" s="2036">
        <f t="shared" ca="1" si="6"/>
        <v>0</v>
      </c>
    </row>
    <row r="9" spans="1:15" s="1211" customFormat="1" ht="20.399999999999999" hidden="1" customHeight="1">
      <c r="A9" s="1211" t="str">
        <f t="shared" si="2"/>
        <v>82</v>
      </c>
      <c r="B9" s="1211">
        <v>2</v>
      </c>
      <c r="C9" s="963" t="s">
        <v>761</v>
      </c>
      <c r="D9" s="1797">
        <f ca="1">SUM($K$4:K9)</f>
        <v>0</v>
      </c>
      <c r="E9" s="2043" t="e">
        <f t="shared" si="0"/>
        <v>#N/A</v>
      </c>
      <c r="F9" s="1797" t="e">
        <f t="shared" si="3"/>
        <v>#N/A</v>
      </c>
      <c r="G9" s="1322">
        <f t="shared" ca="1" si="4"/>
        <v>0</v>
      </c>
      <c r="H9" s="1322">
        <f t="shared" ca="1" si="5"/>
        <v>0</v>
      </c>
      <c r="I9" s="1322">
        <v>3</v>
      </c>
      <c r="J9" s="1319"/>
      <c r="K9" s="1211" t="str">
        <f t="shared" ca="1" si="1"/>
        <v/>
      </c>
      <c r="L9" s="893"/>
      <c r="N9" s="1211">
        <v>8</v>
      </c>
      <c r="O9" s="2036">
        <f t="shared" ca="1" si="6"/>
        <v>0</v>
      </c>
    </row>
    <row r="10" spans="1:15" s="1211" customFormat="1" ht="20.399999999999999" hidden="1" customHeight="1">
      <c r="A10" s="1211" t="str">
        <f t="shared" si="2"/>
        <v>82</v>
      </c>
      <c r="B10" s="1211">
        <v>2</v>
      </c>
      <c r="C10" s="963" t="s">
        <v>443</v>
      </c>
      <c r="D10" s="1797">
        <f ca="1">SUM($K$4:K10)</f>
        <v>0</v>
      </c>
      <c r="E10" s="2043" t="e">
        <f t="shared" si="0"/>
        <v>#N/A</v>
      </c>
      <c r="F10" s="1797" t="e">
        <f t="shared" si="3"/>
        <v>#N/A</v>
      </c>
      <c r="G10" s="1322">
        <f t="shared" ca="1" si="4"/>
        <v>0</v>
      </c>
      <c r="H10" s="1322">
        <f t="shared" ca="1" si="5"/>
        <v>0</v>
      </c>
      <c r="I10" s="1322">
        <v>3</v>
      </c>
      <c r="J10" s="1319"/>
      <c r="K10" s="1211" t="str">
        <f t="shared" ca="1" si="1"/>
        <v/>
      </c>
      <c r="L10" s="893"/>
      <c r="N10" s="1211">
        <v>8</v>
      </c>
      <c r="O10" s="2036">
        <f t="shared" ca="1" si="6"/>
        <v>0</v>
      </c>
    </row>
    <row r="11" spans="1:15" s="1211" customFormat="1" ht="20.399999999999999" hidden="1" customHeight="1">
      <c r="A11" s="1211" t="str">
        <f t="shared" si="2"/>
        <v>122</v>
      </c>
      <c r="B11" s="1211">
        <v>2</v>
      </c>
      <c r="C11" s="963" t="s">
        <v>444</v>
      </c>
      <c r="D11" s="1797">
        <f ca="1">SUM($K$4:K11)</f>
        <v>0</v>
      </c>
      <c r="E11" s="2043" t="e">
        <f t="shared" si="0"/>
        <v>#N/A</v>
      </c>
      <c r="F11" s="1797" t="e">
        <f t="shared" si="3"/>
        <v>#N/A</v>
      </c>
      <c r="G11" s="1322">
        <f t="shared" ca="1" si="4"/>
        <v>0</v>
      </c>
      <c r="H11" s="1322">
        <f t="shared" ca="1" si="5"/>
        <v>0</v>
      </c>
      <c r="I11" s="1322">
        <v>3</v>
      </c>
      <c r="J11" s="1319"/>
      <c r="K11" s="1211" t="str">
        <f t="shared" ca="1" si="1"/>
        <v/>
      </c>
      <c r="L11" s="893"/>
      <c r="N11" s="1211">
        <v>12</v>
      </c>
      <c r="O11" s="2036">
        <f t="shared" ca="1" si="6"/>
        <v>0</v>
      </c>
    </row>
    <row r="12" spans="1:15" s="1211" customFormat="1" ht="20.399999999999999" hidden="1" customHeight="1">
      <c r="A12" s="1211" t="str">
        <f t="shared" si="2"/>
        <v>122</v>
      </c>
      <c r="B12" s="1211">
        <v>2</v>
      </c>
      <c r="C12" s="963" t="s">
        <v>958</v>
      </c>
      <c r="D12" s="1797">
        <f ca="1">SUM($K$4:K12)</f>
        <v>0</v>
      </c>
      <c r="E12" s="2043" t="e">
        <f t="shared" si="0"/>
        <v>#N/A</v>
      </c>
      <c r="F12" s="1797" t="e">
        <f t="shared" si="3"/>
        <v>#N/A</v>
      </c>
      <c r="G12" s="1322">
        <f t="shared" ca="1" si="4"/>
        <v>0</v>
      </c>
      <c r="H12" s="1322">
        <f t="shared" ca="1" si="5"/>
        <v>0</v>
      </c>
      <c r="I12" s="1322"/>
      <c r="J12" s="1319"/>
      <c r="K12" s="1211" t="str">
        <f t="shared" ca="1" si="1"/>
        <v/>
      </c>
      <c r="L12" s="893"/>
      <c r="N12" s="1211">
        <v>12</v>
      </c>
      <c r="O12" s="2036">
        <f t="shared" ca="1" si="6"/>
        <v>0</v>
      </c>
    </row>
    <row r="13" spans="1:15" s="1211" customFormat="1" ht="20.399999999999999" hidden="1" customHeight="1">
      <c r="C13" s="963" t="s">
        <v>2176</v>
      </c>
      <c r="D13" s="1797">
        <f ca="1">SUM($K$4:K13)</f>
        <v>0</v>
      </c>
      <c r="E13" s="2043" t="e">
        <f t="shared" si="0"/>
        <v>#N/A</v>
      </c>
      <c r="F13" s="1797" t="e">
        <f t="shared" si="3"/>
        <v>#N/A</v>
      </c>
      <c r="G13" s="1322">
        <f t="shared" ca="1" si="4"/>
        <v>0</v>
      </c>
      <c r="H13" s="1322">
        <f t="shared" ca="1" si="5"/>
        <v>0</v>
      </c>
      <c r="I13" s="1322"/>
      <c r="J13" s="1319"/>
      <c r="K13" s="1211" t="str">
        <f t="shared" ref="K13:K63" ca="1" si="7">IF(OR(G13&gt;0,H13&gt;0),1,"")</f>
        <v/>
      </c>
      <c r="L13" s="893"/>
    </row>
    <row r="14" spans="1:15" s="1211" customFormat="1" ht="20.399999999999999" hidden="1" customHeight="1">
      <c r="C14" s="963" t="s">
        <v>2315</v>
      </c>
      <c r="D14" s="1797">
        <f ca="1">SUM($K$4:K14)</f>
        <v>0</v>
      </c>
      <c r="E14" s="2043" t="e">
        <f t="shared" si="0"/>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4126</v>
      </c>
      <c r="D15" s="1797">
        <f ca="1">SUM($K$4:K15)</f>
        <v>0</v>
      </c>
      <c r="E15" s="2043" t="e">
        <f t="shared" si="0"/>
        <v>#N/A</v>
      </c>
      <c r="F15" s="1797"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97">
        <f ca="1">SUM($K$4:K16)</f>
        <v>0</v>
      </c>
      <c r="E16" s="2043" t="e">
        <f t="shared" si="0"/>
        <v>#N/A</v>
      </c>
      <c r="F16" s="1797"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2177</v>
      </c>
      <c r="D17" s="1797">
        <f ca="1">SUM($K$4:K17)</f>
        <v>0</v>
      </c>
      <c r="E17" s="2043" t="e">
        <f t="shared" si="0"/>
        <v>#N/A</v>
      </c>
      <c r="F17" s="1797"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97">
        <f ca="1">SUM($K$4:K18)</f>
        <v>0</v>
      </c>
      <c r="E18" s="2043" t="e">
        <f t="shared" si="0"/>
        <v>#N/A</v>
      </c>
      <c r="F18" s="1797"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97">
        <f ca="1">SUM($K$4:K19)</f>
        <v>0</v>
      </c>
      <c r="E19" s="2043" t="e">
        <f t="shared" si="0"/>
        <v>#N/A</v>
      </c>
      <c r="F19" s="1797"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2178</v>
      </c>
      <c r="D20" s="1797">
        <f ca="1">SUM($K$4:K20)</f>
        <v>0</v>
      </c>
      <c r="E20" s="2043" t="e">
        <f t="shared" si="0"/>
        <v>#N/A</v>
      </c>
      <c r="F20" s="1797"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97">
        <f ca="1">SUM($K$4:K21)</f>
        <v>0</v>
      </c>
      <c r="E21" s="2043" t="e">
        <f t="shared" si="0"/>
        <v>#N/A</v>
      </c>
      <c r="F21" s="1797"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97">
        <f ca="1">SUM($K$4:K22)</f>
        <v>0</v>
      </c>
      <c r="E22" s="2043" t="e">
        <f t="shared" si="0"/>
        <v>#N/A</v>
      </c>
      <c r="F22" s="1797"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97">
        <f ca="1">SUM($K$4:K23)</f>
        <v>0</v>
      </c>
      <c r="E23" s="2043" t="e">
        <f t="shared" si="0"/>
        <v>#N/A</v>
      </c>
      <c r="F23" s="1797"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2303</v>
      </c>
      <c r="D24" s="1797">
        <f ca="1">SUM($K$4:K24)</f>
        <v>0</v>
      </c>
      <c r="E24" s="2043" t="e">
        <f t="shared" si="0"/>
        <v>#N/A</v>
      </c>
      <c r="F24" s="1797"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97">
        <f ca="1">SUM($K$4:K25)</f>
        <v>0</v>
      </c>
      <c r="E25" s="2043" t="e">
        <f t="shared" si="0"/>
        <v>#N/A</v>
      </c>
      <c r="F25" s="1797"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97">
        <f ca="1">SUM($K$4:K26)</f>
        <v>0</v>
      </c>
      <c r="E26" s="2043" t="e">
        <f t="shared" si="0"/>
        <v>#N/A</v>
      </c>
      <c r="F26" s="1797"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97">
        <f ca="1">SUM($K$4:K27)</f>
        <v>0</v>
      </c>
      <c r="E27" s="2043" t="e">
        <f t="shared" si="0"/>
        <v>#N/A</v>
      </c>
      <c r="F27" s="1797"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97">
        <f ca="1">SUM($K$4:K28)</f>
        <v>0</v>
      </c>
      <c r="E28" s="2043" t="e">
        <f t="shared" si="0"/>
        <v>#N/A</v>
      </c>
      <c r="F28" s="1797"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97">
        <f ca="1">SUM($K$4:K29)</f>
        <v>0</v>
      </c>
      <c r="E29" s="2043" t="e">
        <f t="shared" si="0"/>
        <v>#N/A</v>
      </c>
      <c r="F29" s="1797"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97">
        <f ca="1">SUM($K$4:K30)</f>
        <v>0</v>
      </c>
      <c r="E30" s="2043" t="e">
        <f t="shared" si="0"/>
        <v>#N/A</v>
      </c>
      <c r="F30" s="1797" t="e">
        <f t="shared" si="8"/>
        <v>#N/A</v>
      </c>
      <c r="G30" s="1322">
        <f t="shared" ca="1" si="9"/>
        <v>0</v>
      </c>
      <c r="H30" s="1322">
        <f t="shared" ca="1" si="10"/>
        <v>0</v>
      </c>
      <c r="I30" s="1322"/>
      <c r="J30" s="1319"/>
      <c r="K30" s="1211" t="str">
        <f t="shared" ca="1" si="7"/>
        <v/>
      </c>
      <c r="L30" s="893"/>
    </row>
    <row r="31" spans="3:12" s="1211" customFormat="1" ht="20.399999999999999" customHeight="1">
      <c r="C31" s="963" t="s">
        <v>219</v>
      </c>
      <c r="D31" s="1797">
        <f ca="1">SUM($K$4:K31)</f>
        <v>0</v>
      </c>
      <c r="E31" s="2043" t="e">
        <f t="shared" si="0"/>
        <v>#N/A</v>
      </c>
      <c r="F31" s="1797" t="e">
        <f t="shared" si="8"/>
        <v>#N/A</v>
      </c>
      <c r="G31" s="1322">
        <f t="shared" ca="1" si="9"/>
        <v>0</v>
      </c>
      <c r="H31" s="1322">
        <f t="shared" ca="1" si="10"/>
        <v>0</v>
      </c>
      <c r="I31" s="1322"/>
      <c r="J31" s="1319"/>
      <c r="K31" s="1211" t="str">
        <f t="shared" ca="1" si="7"/>
        <v/>
      </c>
      <c r="L31" s="893"/>
    </row>
    <row r="32" spans="3:12" s="1211" customFormat="1" ht="20.399999999999999" hidden="1" customHeight="1">
      <c r="C32" s="963" t="s">
        <v>303</v>
      </c>
      <c r="D32" s="1797">
        <f ca="1">SUM($K$4:K32)</f>
        <v>0</v>
      </c>
      <c r="E32" s="2043" t="e">
        <f t="shared" si="0"/>
        <v>#N/A</v>
      </c>
      <c r="F32" s="1797"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2263</v>
      </c>
      <c r="D33" s="1797">
        <f ca="1">SUM($K$4:K33)</f>
        <v>0</v>
      </c>
      <c r="E33" s="2043" t="e">
        <f t="shared" si="0"/>
        <v>#N/A</v>
      </c>
      <c r="F33" s="1797"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97">
        <f ca="1">SUM($K$4:K34)</f>
        <v>0</v>
      </c>
      <c r="E34" s="2043" t="e">
        <f t="shared" si="0"/>
        <v>#N/A</v>
      </c>
      <c r="F34" s="1797"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97">
        <f ca="1">SUM($K$4:K35)</f>
        <v>0</v>
      </c>
      <c r="E35" s="2043" t="e">
        <f t="shared" si="0"/>
        <v>#N/A</v>
      </c>
      <c r="F35" s="1797"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97">
        <f ca="1">SUM($K$4:K36)</f>
        <v>0</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97">
        <f ca="1">SUM($K$4:K37)</f>
        <v>0</v>
      </c>
      <c r="E37" s="2043" t="e">
        <f t="shared" si="11"/>
        <v>#N/A</v>
      </c>
      <c r="F37" s="1797"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97">
        <f ca="1">SUM($K$4:K38)</f>
        <v>0</v>
      </c>
      <c r="E38" s="2043" t="e">
        <f t="shared" si="11"/>
        <v>#N/A</v>
      </c>
      <c r="F38" s="1797"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1901</v>
      </c>
      <c r="D39" s="1797">
        <f ca="1">SUM($K$4:K39)</f>
        <v>0</v>
      </c>
      <c r="E39" s="2043" t="e">
        <f t="shared" si="11"/>
        <v>#N/A</v>
      </c>
      <c r="F39" s="1797" t="e">
        <f t="shared" si="8"/>
        <v>#N/A</v>
      </c>
      <c r="G39" s="1322">
        <f t="shared" ca="1" si="9"/>
        <v>0</v>
      </c>
      <c r="H39" s="1322">
        <f t="shared" ca="1" si="10"/>
        <v>0</v>
      </c>
      <c r="I39" s="1322"/>
      <c r="J39" s="1319"/>
      <c r="K39" s="1211" t="str">
        <f t="shared" ca="1" si="7"/>
        <v/>
      </c>
      <c r="L39" s="893"/>
    </row>
    <row r="40" spans="3:12" s="1211" customFormat="1" ht="20.399999999999999" hidden="1" customHeight="1">
      <c r="C40" s="963" t="s">
        <v>2180</v>
      </c>
      <c r="D40" s="1797">
        <f ca="1">SUM($K$4:K40)</f>
        <v>0</v>
      </c>
      <c r="E40" s="2043" t="e">
        <f t="shared" si="11"/>
        <v>#N/A</v>
      </c>
      <c r="F40" s="1797"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97">
        <f ca="1">SUM($K$4:K41)</f>
        <v>0</v>
      </c>
      <c r="E41" s="2043" t="e">
        <f t="shared" si="11"/>
        <v>#N/A</v>
      </c>
      <c r="F41" s="1797"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2304</v>
      </c>
      <c r="D42" s="1797">
        <f ca="1">SUM($K$4:K42)</f>
        <v>0</v>
      </c>
      <c r="E42" s="2043" t="e">
        <f t="shared" si="11"/>
        <v>#N/A</v>
      </c>
      <c r="F42" s="1797"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2305</v>
      </c>
      <c r="D43" s="1797">
        <f ca="1">SUM($K$4:K43)</f>
        <v>0</v>
      </c>
      <c r="E43" s="2043" t="e">
        <f t="shared" si="11"/>
        <v>#N/A</v>
      </c>
      <c r="F43" s="1797" t="e">
        <f t="shared" si="8"/>
        <v>#N/A</v>
      </c>
      <c r="G43" s="1322">
        <f t="shared" ca="1" si="9"/>
        <v>0</v>
      </c>
      <c r="H43" s="1322">
        <f t="shared" ca="1" si="10"/>
        <v>0</v>
      </c>
      <c r="I43" s="1322"/>
      <c r="J43" s="1319"/>
      <c r="K43" s="1211" t="str">
        <f t="shared" ca="1" si="7"/>
        <v/>
      </c>
      <c r="L43" s="893"/>
    </row>
    <row r="44" spans="3:12" s="1211" customFormat="1" ht="20.399999999999999" customHeight="1">
      <c r="C44" s="963" t="s">
        <v>2306</v>
      </c>
      <c r="D44" s="1797">
        <f ca="1">SUM($K$4:K44)</f>
        <v>0</v>
      </c>
      <c r="E44" s="2043" t="e">
        <f t="shared" si="11"/>
        <v>#N/A</v>
      </c>
      <c r="F44" s="1797" t="e">
        <f t="shared" si="8"/>
        <v>#N/A</v>
      </c>
      <c r="G44" s="1322">
        <f t="shared" ca="1" si="9"/>
        <v>0</v>
      </c>
      <c r="H44" s="1322">
        <f t="shared" ca="1" si="10"/>
        <v>0</v>
      </c>
      <c r="I44" s="1322"/>
      <c r="J44" s="1319"/>
      <c r="K44" s="1211" t="str">
        <f t="shared" ca="1" si="7"/>
        <v/>
      </c>
      <c r="L44" s="893"/>
    </row>
    <row r="45" spans="3:12" s="1211" customFormat="1" ht="20.399999999999999" hidden="1" customHeight="1">
      <c r="C45" s="963" t="s">
        <v>744</v>
      </c>
      <c r="D45" s="1797">
        <f ca="1">SUM($K$4:K45)</f>
        <v>0</v>
      </c>
      <c r="E45" s="2043" t="e">
        <f t="shared" si="11"/>
        <v>#N/A</v>
      </c>
      <c r="F45" s="1797"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2264</v>
      </c>
      <c r="D46" s="1797">
        <f ca="1">SUM($K$4:K46)</f>
        <v>0</v>
      </c>
      <c r="E46" s="2043" t="e">
        <f t="shared" si="11"/>
        <v>#N/A</v>
      </c>
      <c r="F46" s="1797"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97">
        <f ca="1">SUM($K$4:K47)</f>
        <v>0</v>
      </c>
      <c r="E47" s="2043" t="e">
        <f t="shared" si="11"/>
        <v>#N/A</v>
      </c>
      <c r="F47" s="1797"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97">
        <f ca="1">SUM($K$4:K48)</f>
        <v>0</v>
      </c>
      <c r="E48" s="2043" t="e">
        <f t="shared" si="11"/>
        <v>#N/A</v>
      </c>
      <c r="F48" s="1797"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97">
        <f ca="1">SUM($K$4:K49)</f>
        <v>0</v>
      </c>
      <c r="E49" s="2043" t="e">
        <f t="shared" si="11"/>
        <v>#N/A</v>
      </c>
      <c r="F49" s="1797" t="e">
        <f t="shared" si="8"/>
        <v>#N/A</v>
      </c>
      <c r="G49" s="1322">
        <f t="shared" ca="1" si="9"/>
        <v>0</v>
      </c>
      <c r="H49" s="1322">
        <f t="shared" ca="1" si="10"/>
        <v>0</v>
      </c>
      <c r="I49" s="1322"/>
      <c r="J49" s="1319"/>
      <c r="K49" s="1211" t="str">
        <f t="shared" ca="1" si="7"/>
        <v/>
      </c>
      <c r="L49" s="893"/>
    </row>
    <row r="50" spans="3:12" s="1211" customFormat="1" ht="20.399999999999999" customHeight="1">
      <c r="C50" s="963" t="s">
        <v>2307</v>
      </c>
      <c r="D50" s="1797">
        <f ca="1">SUM($K$4:K50)</f>
        <v>0</v>
      </c>
      <c r="E50" s="2043" t="e">
        <f t="shared" si="11"/>
        <v>#N/A</v>
      </c>
      <c r="F50" s="1797"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97">
        <f ca="1">SUM($K$4:K51)</f>
        <v>0</v>
      </c>
      <c r="E51" s="2043" t="e">
        <f t="shared" si="11"/>
        <v>#N/A</v>
      </c>
      <c r="F51" s="1797"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97">
        <f ca="1">SUM($K$4:K52)</f>
        <v>0</v>
      </c>
      <c r="E52" s="2043" t="e">
        <f t="shared" si="11"/>
        <v>#N/A</v>
      </c>
      <c r="F52" s="1797"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97">
        <f ca="1">SUM($K$4:K53)</f>
        <v>0</v>
      </c>
      <c r="E53" s="2043" t="e">
        <f t="shared" si="11"/>
        <v>#N/A</v>
      </c>
      <c r="F53" s="1797"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97">
        <f ca="1">SUM($K$4:K54)</f>
        <v>0</v>
      </c>
      <c r="E54" s="2043" t="e">
        <f t="shared" si="11"/>
        <v>#N/A</v>
      </c>
      <c r="F54" s="1797"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97">
        <f ca="1">SUM($K$4:K55)</f>
        <v>0</v>
      </c>
      <c r="E55" s="2043" t="e">
        <f t="shared" si="11"/>
        <v>#N/A</v>
      </c>
      <c r="F55" s="1797"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1642</v>
      </c>
      <c r="D56" s="1797">
        <f ca="1">SUM($K$4:K56)</f>
        <v>0</v>
      </c>
      <c r="E56" s="2043" t="e">
        <f t="shared" si="11"/>
        <v>#N/A</v>
      </c>
      <c r="F56" s="1797"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97">
        <f ca="1">SUM($K$4:K57)</f>
        <v>0</v>
      </c>
      <c r="E57" s="2043" t="e">
        <f t="shared" si="11"/>
        <v>#N/A</v>
      </c>
      <c r="F57" s="1797"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97">
        <f ca="1">SUM($K$4:K58)</f>
        <v>0</v>
      </c>
      <c r="E58" s="2043" t="e">
        <f t="shared" si="11"/>
        <v>#N/A</v>
      </c>
      <c r="F58" s="1797"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97">
        <f ca="1">SUM($K$4:K59)</f>
        <v>0</v>
      </c>
      <c r="E59" s="2043" t="e">
        <f t="shared" si="11"/>
        <v>#N/A</v>
      </c>
      <c r="F59" s="1797"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97">
        <f ca="1">SUM($K$4:K60)</f>
        <v>0</v>
      </c>
      <c r="E60" s="2043" t="e">
        <f t="shared" si="11"/>
        <v>#N/A</v>
      </c>
      <c r="F60" s="1797"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97">
        <f ca="1">SUM($K$4:K61)</f>
        <v>0</v>
      </c>
      <c r="E61" s="2043" t="e">
        <f t="shared" si="11"/>
        <v>#N/A</v>
      </c>
      <c r="F61" s="1797"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1492</v>
      </c>
      <c r="D62" s="1797">
        <f ca="1">SUM($K$4:K62)</f>
        <v>0</v>
      </c>
      <c r="E62" s="2043" t="e">
        <f t="shared" si="11"/>
        <v>#N/A</v>
      </c>
      <c r="F62" s="1797"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1493</v>
      </c>
      <c r="D63" s="1797">
        <f ca="1">SUM($K$4:K63)</f>
        <v>0</v>
      </c>
      <c r="E63" s="2043" t="e">
        <f t="shared" si="11"/>
        <v>#N/A</v>
      </c>
      <c r="F63" s="1797" t="e">
        <f t="shared" si="8"/>
        <v>#N/A</v>
      </c>
      <c r="G63" s="1322">
        <f t="shared" ca="1" si="9"/>
        <v>0</v>
      </c>
      <c r="H63" s="1322">
        <f t="shared" ca="1" si="10"/>
        <v>0</v>
      </c>
      <c r="I63" s="1322"/>
      <c r="J63" s="1319"/>
      <c r="K63" s="1211" t="str">
        <f t="shared" ca="1" si="7"/>
        <v/>
      </c>
      <c r="L63" s="893"/>
    </row>
    <row r="64" spans="3:12" ht="20.399999999999999" hidden="1" customHeight="1">
      <c r="C64" s="963" t="s">
        <v>4993</v>
      </c>
      <c r="D64" s="1797">
        <f ca="1">SUM($K$4:K64)</f>
        <v>0</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0</v>
      </c>
      <c r="H65" s="1323">
        <f ca="1">SUM(H4:H64)</f>
        <v>0</v>
      </c>
      <c r="I65" s="1797"/>
      <c r="J65" s="1797"/>
      <c r="K65" s="1211"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J16" sqref="J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2831</v>
      </c>
      <c r="E1" s="893"/>
    </row>
    <row r="3" spans="2:12" s="1610" customFormat="1" ht="36.6" customHeight="1">
      <c r="B3" s="1214"/>
      <c r="C3" s="1798" t="s">
        <v>1708</v>
      </c>
      <c r="D3" s="1798" t="s">
        <v>3973</v>
      </c>
      <c r="E3" s="1383" t="s">
        <v>4201</v>
      </c>
      <c r="F3" s="1383" t="s">
        <v>4897</v>
      </c>
      <c r="G3" s="1383" t="s">
        <v>4169</v>
      </c>
      <c r="H3" s="1383" t="s">
        <v>4202</v>
      </c>
      <c r="I3" s="1383" t="s">
        <v>4168</v>
      </c>
      <c r="J3" s="2034" t="s">
        <v>512</v>
      </c>
      <c r="K3" s="1610">
        <v>2</v>
      </c>
    </row>
    <row r="4" spans="2:12" hidden="1">
      <c r="B4" s="1325" t="s">
        <v>519</v>
      </c>
      <c r="C4" s="1318">
        <f ca="1">SUM($J$4:J4)</f>
        <v>0</v>
      </c>
      <c r="D4" s="2043" t="e">
        <f t="shared" ref="D4:D15" si="0">VLOOKUP(B4,KhoiLuong,5,0)</f>
        <v>#N/A</v>
      </c>
      <c r="E4" s="1797" t="e">
        <f t="shared" ref="E4:E15" si="1">VLOOKUP(B4,KhoiLuong,6,0)</f>
        <v>#N/A</v>
      </c>
      <c r="F4" s="1322">
        <f ca="1">SUMIF(KhoiLuong,B4,DuToan)</f>
        <v>0</v>
      </c>
      <c r="G4" s="1322">
        <f ca="1">SUMIF(KhoiLuong,B4,ThiCong)</f>
        <v>0</v>
      </c>
      <c r="H4" s="1322" t="str">
        <f ca="1">VLOOKUP($D$1,Solieu!A:C,2,0)</f>
        <v/>
      </c>
      <c r="I4" s="1319"/>
      <c r="J4" s="1211" t="str">
        <f t="shared" ref="J4:J16" ca="1" si="2">IF(OR(F4&gt;0,G4&gt;0),1,"")</f>
        <v/>
      </c>
      <c r="L4" s="1322"/>
    </row>
    <row r="5" spans="2:12" hidden="1">
      <c r="B5" s="1325" t="s">
        <v>4958</v>
      </c>
      <c r="C5" s="1797">
        <f ca="1">SUM($J$4:J5)</f>
        <v>0</v>
      </c>
      <c r="D5" s="2043" t="e">
        <f t="shared" si="0"/>
        <v>#N/A</v>
      </c>
      <c r="E5" s="1797" t="e">
        <f t="shared" si="1"/>
        <v>#N/A</v>
      </c>
      <c r="F5" s="1322">
        <f t="shared" ref="F5:F15" ca="1" si="3">SUMIF(KhoiLuong,B5,DuToan)</f>
        <v>0</v>
      </c>
      <c r="G5" s="1322">
        <f t="shared" ref="G5:G15" ca="1" si="4">SUMIF(KhoiLuong,B5,ThiCong)</f>
        <v>0</v>
      </c>
      <c r="H5" s="1322" t="str">
        <f ca="1">VLOOKUP($D$1,Solieu!A:C,2,0)</f>
        <v/>
      </c>
      <c r="I5" s="1319"/>
      <c r="J5" s="1211" t="str">
        <f t="shared" ca="1" si="2"/>
        <v/>
      </c>
      <c r="K5" s="893"/>
      <c r="L5" s="1322"/>
    </row>
    <row r="6" spans="2:12" ht="43.2" hidden="1" customHeight="1">
      <c r="B6" s="1325" t="s">
        <v>302</v>
      </c>
      <c r="C6" s="1797">
        <f ca="1">SUM($J$4:J6)</f>
        <v>0</v>
      </c>
      <c r="D6" s="2043" t="e">
        <f t="shared" si="0"/>
        <v>#N/A</v>
      </c>
      <c r="E6" s="1797" t="e">
        <f t="shared" si="1"/>
        <v>#N/A</v>
      </c>
      <c r="F6" s="1322">
        <f t="shared" ca="1" si="3"/>
        <v>0</v>
      </c>
      <c r="G6" s="1322">
        <f t="shared" ca="1" si="4"/>
        <v>0</v>
      </c>
      <c r="H6" s="1322" t="str">
        <f ca="1">VLOOKUP($D$1,Solieu!A:C,2,0)</f>
        <v/>
      </c>
      <c r="I6" s="1319"/>
      <c r="J6" s="1211" t="str">
        <f t="shared" ca="1" si="2"/>
        <v/>
      </c>
      <c r="K6" s="893"/>
    </row>
    <row r="7" spans="2:12" hidden="1">
      <c r="B7" s="2037" t="s">
        <v>232</v>
      </c>
      <c r="C7" s="1797">
        <f ca="1">SUM($J$4:J7)</f>
        <v>0</v>
      </c>
      <c r="D7" s="2043" t="e">
        <f t="shared" si="0"/>
        <v>#N/A</v>
      </c>
      <c r="E7" s="1797" t="e">
        <f t="shared" si="1"/>
        <v>#N/A</v>
      </c>
      <c r="F7" s="1322">
        <f t="shared" ca="1" si="3"/>
        <v>0</v>
      </c>
      <c r="G7" s="1322">
        <f t="shared" ca="1" si="4"/>
        <v>0</v>
      </c>
      <c r="H7" s="1322" t="str">
        <f ca="1">VLOOKUP($D$1,Solieu!A:C,2,0)</f>
        <v/>
      </c>
      <c r="I7" s="1319"/>
      <c r="J7" s="1211" t="str">
        <f t="shared" ca="1" si="2"/>
        <v/>
      </c>
      <c r="K7" s="893"/>
    </row>
    <row r="8" spans="2:12" ht="31.5" hidden="1" customHeight="1">
      <c r="B8" s="1325" t="s">
        <v>510</v>
      </c>
      <c r="C8" s="1797">
        <f ca="1">SUM($J$4:J8)</f>
        <v>0</v>
      </c>
      <c r="D8" s="2043" t="e">
        <f t="shared" si="0"/>
        <v>#N/A</v>
      </c>
      <c r="E8" s="1797" t="e">
        <f t="shared" si="1"/>
        <v>#N/A</v>
      </c>
      <c r="F8" s="1322">
        <f t="shared" ca="1" si="3"/>
        <v>0</v>
      </c>
      <c r="G8" s="1322">
        <f t="shared" ca="1" si="4"/>
        <v>0</v>
      </c>
      <c r="I8" s="1319"/>
      <c r="J8" s="1211" t="str">
        <f t="shared" ca="1" si="2"/>
        <v/>
      </c>
    </row>
    <row r="9" spans="2:12" hidden="1">
      <c r="B9" s="1325" t="s">
        <v>300</v>
      </c>
      <c r="C9" s="1797">
        <f ca="1">SUM($J$4:J9)</f>
        <v>0</v>
      </c>
      <c r="D9" s="2043" t="e">
        <f t="shared" si="0"/>
        <v>#N/A</v>
      </c>
      <c r="E9" s="1797" t="e">
        <f t="shared" si="1"/>
        <v>#N/A</v>
      </c>
      <c r="F9" s="1322">
        <f t="shared" ca="1" si="3"/>
        <v>0</v>
      </c>
      <c r="G9" s="1322">
        <f t="shared" ca="1" si="4"/>
        <v>0</v>
      </c>
      <c r="I9" s="1319"/>
      <c r="J9" s="1211" t="str">
        <f t="shared" ca="1" si="2"/>
        <v/>
      </c>
    </row>
    <row r="10" spans="2:12" hidden="1">
      <c r="B10" s="1325" t="s">
        <v>370</v>
      </c>
      <c r="C10" s="1797">
        <f ca="1">SUM($J$4:J10)</f>
        <v>0</v>
      </c>
      <c r="D10" s="2043" t="e">
        <f t="shared" si="0"/>
        <v>#N/A</v>
      </c>
      <c r="E10" s="1797" t="e">
        <f t="shared" si="1"/>
        <v>#N/A</v>
      </c>
      <c r="F10" s="1322">
        <f t="shared" ca="1" si="3"/>
        <v>0</v>
      </c>
      <c r="G10" s="1322">
        <f t="shared" ca="1" si="4"/>
        <v>0</v>
      </c>
      <c r="I10" s="1319"/>
      <c r="J10" s="1211" t="str">
        <f t="shared" ca="1" si="2"/>
        <v/>
      </c>
    </row>
    <row r="11" spans="2:12" hidden="1">
      <c r="B11" s="1325" t="s">
        <v>1186</v>
      </c>
      <c r="C11" s="1797">
        <f ca="1">SUM($J$4:J11)</f>
        <v>0</v>
      </c>
      <c r="D11" s="2043" t="e">
        <f t="shared" si="0"/>
        <v>#N/A</v>
      </c>
      <c r="E11" s="1797" t="e">
        <f t="shared" si="1"/>
        <v>#N/A</v>
      </c>
      <c r="F11" s="1322">
        <f t="shared" ca="1" si="3"/>
        <v>0</v>
      </c>
      <c r="G11" s="1322">
        <f t="shared" ca="1" si="4"/>
        <v>0</v>
      </c>
      <c r="I11" s="1319"/>
      <c r="J11" s="1211" t="str">
        <f t="shared" ca="1" si="2"/>
        <v/>
      </c>
    </row>
    <row r="12" spans="2:12" ht="43.2" hidden="1" customHeight="1">
      <c r="B12" s="1325" t="s">
        <v>301</v>
      </c>
      <c r="C12" s="1797">
        <f ca="1">SUM($J$4:J12)</f>
        <v>0</v>
      </c>
      <c r="D12" s="1320" t="e">
        <f t="shared" si="0"/>
        <v>#N/A</v>
      </c>
      <c r="E12" s="1797" t="e">
        <f t="shared" si="1"/>
        <v>#N/A</v>
      </c>
      <c r="F12" s="1322">
        <f t="shared" ca="1" si="3"/>
        <v>0</v>
      </c>
      <c r="G12" s="1322">
        <f t="shared" ca="1" si="4"/>
        <v>0</v>
      </c>
      <c r="I12" s="1319"/>
      <c r="J12" s="1211" t="str">
        <f t="shared" ca="1" si="2"/>
        <v/>
      </c>
    </row>
    <row r="13" spans="2:12" hidden="1">
      <c r="B13" s="1325" t="s">
        <v>2308</v>
      </c>
      <c r="C13" s="1797">
        <f ca="1">SUM($J$4:J13)</f>
        <v>0</v>
      </c>
      <c r="D13" s="2043" t="e">
        <f t="shared" si="0"/>
        <v>#N/A</v>
      </c>
      <c r="E13" s="1797" t="e">
        <f t="shared" si="1"/>
        <v>#N/A</v>
      </c>
      <c r="F13" s="1322">
        <f t="shared" ca="1" si="3"/>
        <v>0</v>
      </c>
      <c r="G13" s="1322">
        <f t="shared" ca="1" si="4"/>
        <v>0</v>
      </c>
      <c r="I13" s="1319"/>
      <c r="J13" s="1211" t="str">
        <f t="shared" ca="1" si="2"/>
        <v/>
      </c>
    </row>
    <row r="14" spans="2:12" hidden="1">
      <c r="B14" s="1325" t="s">
        <v>4994</v>
      </c>
      <c r="C14" s="1797">
        <f ca="1">SUM($J$4:J14)</f>
        <v>0</v>
      </c>
      <c r="D14" s="2043" t="e">
        <f t="shared" si="0"/>
        <v>#N/A</v>
      </c>
      <c r="E14" s="1797" t="e">
        <f t="shared" si="1"/>
        <v>#N/A</v>
      </c>
      <c r="F14" s="1322">
        <f t="shared" ca="1" si="3"/>
        <v>0</v>
      </c>
      <c r="G14" s="1322">
        <f t="shared" ca="1" si="4"/>
        <v>0</v>
      </c>
      <c r="I14" s="1319"/>
      <c r="J14" s="1211" t="str">
        <f t="shared" ca="1" si="2"/>
        <v/>
      </c>
    </row>
    <row r="15" spans="2:12" hidden="1">
      <c r="B15" s="1325" t="s">
        <v>759</v>
      </c>
      <c r="C15" s="1797">
        <f ca="1">SUM($J$4:J15)</f>
        <v>0</v>
      </c>
      <c r="D15" s="2043" t="e">
        <f t="shared" si="0"/>
        <v>#N/A</v>
      </c>
      <c r="E15" s="1797" t="e">
        <f t="shared" si="1"/>
        <v>#N/A</v>
      </c>
      <c r="F15" s="1322">
        <f t="shared" ca="1" si="3"/>
        <v>0</v>
      </c>
      <c r="G15" s="1322">
        <f t="shared" ca="1" si="4"/>
        <v>0</v>
      </c>
      <c r="I15" s="1319"/>
      <c r="J15" s="1211" t="str">
        <f t="shared" ca="1" si="2"/>
        <v/>
      </c>
    </row>
    <row r="16" spans="2:12" ht="39.75" hidden="1" customHeight="1">
      <c r="C16" s="1797"/>
      <c r="D16" s="1798" t="s">
        <v>4232</v>
      </c>
      <c r="E16" s="1798"/>
      <c r="F16" s="1323">
        <f ca="1">SUM(F4:F15)</f>
        <v>0</v>
      </c>
      <c r="G16" s="1323">
        <f ca="1">SUM(G4:G15)</f>
        <v>0</v>
      </c>
      <c r="H16" s="1797"/>
      <c r="I16" s="1797"/>
      <c r="J16" s="1211"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4473</v>
      </c>
    </row>
    <row r="3" spans="2:10" ht="33.6">
      <c r="C3" s="1798" t="s">
        <v>1708</v>
      </c>
      <c r="D3" s="1798" t="s">
        <v>4391</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xr:uid="{00000000-0009-0000-0000-00001E000000}">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8" t="s">
        <v>1708</v>
      </c>
      <c r="D3" s="1798" t="s">
        <v>4294</v>
      </c>
      <c r="E3" s="1383" t="s">
        <v>4201</v>
      </c>
      <c r="F3" s="1383" t="s">
        <v>4897</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
      </c>
      <c r="I4" s="1319"/>
      <c r="J4" s="1211" t="str">
        <f>IF(OR(F4&gt;0,G4&gt;0),1,"")</f>
        <v/>
      </c>
      <c r="K4" s="893" t="s">
        <v>4471</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
      </c>
      <c r="I5" s="1319"/>
      <c r="J5" s="1211" t="str">
        <f t="shared" ref="J5:J17" si="2">IF(OR(F5&gt;0,G5&gt;0),1,"")</f>
        <v/>
      </c>
      <c r="K5" s="893" t="s">
        <v>4471</v>
      </c>
    </row>
    <row r="6" spans="2:11" ht="26.4"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
      </c>
      <c r="I6" s="1319"/>
      <c r="J6" s="1211" t="str">
        <f t="shared" si="2"/>
        <v/>
      </c>
      <c r="K6" s="893" t="s">
        <v>4471</v>
      </c>
    </row>
    <row r="7" spans="2:11" ht="26.4"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
      </c>
      <c r="I7" s="1319"/>
      <c r="J7" s="1211" t="str">
        <f t="shared" si="2"/>
        <v/>
      </c>
      <c r="K7" s="893" t="s">
        <v>4471</v>
      </c>
    </row>
    <row r="8" spans="2:11" ht="25.2"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
      </c>
      <c r="I8" s="1797"/>
      <c r="J8" s="1211" t="str">
        <f t="shared" si="2"/>
        <v/>
      </c>
      <c r="K8" s="893" t="s">
        <v>4471</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
      </c>
      <c r="I9" s="1319"/>
      <c r="J9" s="1211" t="str">
        <f t="shared" si="2"/>
        <v/>
      </c>
      <c r="K9" s="893" t="s">
        <v>4471</v>
      </c>
    </row>
    <row r="10" spans="2:11" ht="25.2"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
      </c>
      <c r="I10" s="1319"/>
      <c r="J10" s="1211" t="str">
        <f t="shared" ref="J10:J16" si="5">IF(OR(F10&gt;0,G10&gt;0),1,"")</f>
        <v/>
      </c>
      <c r="K10" s="893" t="s">
        <v>4471</v>
      </c>
    </row>
    <row r="11" spans="2:11" ht="24" hidden="1" customHeight="1">
      <c r="B11" s="1325" t="s">
        <v>6431</v>
      </c>
      <c r="C11" s="1797">
        <f>SUM($J$4:J11)</f>
        <v>0</v>
      </c>
      <c r="D11" s="2043" t="e">
        <f t="shared" si="3"/>
        <v>#N/A</v>
      </c>
      <c r="E11" s="1797" t="e">
        <f t="shared" si="4"/>
        <v>#N/A</v>
      </c>
      <c r="F11" s="1322">
        <f>SUMIF(TongHopKL!$B:$B,B11,TongHopKL!H:H)</f>
        <v>0</v>
      </c>
      <c r="G11" s="1322">
        <f>SUMIF(TongHopKL!$B:$B,B11,TongHopKL!I:I)</f>
        <v>0</v>
      </c>
      <c r="H11" s="1322" t="str">
        <f>VLOOKUP(K11,Solieu!A:C,2,0)</f>
        <v/>
      </c>
      <c r="I11" s="1319"/>
      <c r="J11" s="1211" t="str">
        <f t="shared" si="5"/>
        <v/>
      </c>
      <c r="K11" s="893" t="s">
        <v>4471</v>
      </c>
    </row>
    <row r="12" spans="2:11" ht="25.2" customHeight="1">
      <c r="B12" s="1325" t="s">
        <v>6466</v>
      </c>
      <c r="C12" s="1797">
        <f>SUM($J$4:J12)</f>
        <v>0</v>
      </c>
      <c r="D12" s="2043" t="e">
        <f t="shared" si="3"/>
        <v>#N/A</v>
      </c>
      <c r="E12" s="1797" t="e">
        <f t="shared" si="4"/>
        <v>#N/A</v>
      </c>
      <c r="F12" s="1322">
        <f>SUMIF(TongHopKL!$B:$B,B12,TongHopKL!H:H)</f>
        <v>0</v>
      </c>
      <c r="G12" s="1322">
        <f>SUMIF(TongHopKL!$B:$B,B12,TongHopKL!I:I)</f>
        <v>0</v>
      </c>
      <c r="H12" s="1322" t="str">
        <f>VLOOKUP(K12,Solieu!A:C,2,0)</f>
        <v/>
      </c>
      <c r="I12" s="1319"/>
      <c r="J12" s="1211" t="str">
        <f t="shared" si="5"/>
        <v/>
      </c>
      <c r="K12" s="893" t="s">
        <v>4471</v>
      </c>
    </row>
    <row r="13" spans="2:11" ht="24" hidden="1" customHeight="1">
      <c r="B13" s="1325" t="s">
        <v>512</v>
      </c>
      <c r="C13" s="1797">
        <f>SUM($J$4:J13)</f>
        <v>0</v>
      </c>
      <c r="D13" s="2043" t="e">
        <f t="shared" si="3"/>
        <v>#N/A</v>
      </c>
      <c r="E13" s="1797" t="e">
        <f t="shared" si="4"/>
        <v>#N/A</v>
      </c>
      <c r="F13" s="1322">
        <f>SUMIF(TongHopKL!$B:$B,B13,TongHopKL!H:H)</f>
        <v>0</v>
      </c>
      <c r="G13" s="1322">
        <f>SUMIF(TongHopKL!$B:$B,B13,TongHopKL!I:I)</f>
        <v>0</v>
      </c>
      <c r="H13" s="1322" t="str">
        <f>VLOOKUP(K13,Solieu!A:C,2,0)</f>
        <v/>
      </c>
      <c r="I13" s="1319"/>
      <c r="J13" s="1211" t="str">
        <f t="shared" si="5"/>
        <v/>
      </c>
      <c r="K13" s="893" t="s">
        <v>4471</v>
      </c>
    </row>
    <row r="14" spans="2:11" ht="24" hidden="1" customHeight="1">
      <c r="B14" s="1325" t="s">
        <v>512</v>
      </c>
      <c r="C14" s="1797">
        <f>SUM($J$4:J14)</f>
        <v>0</v>
      </c>
      <c r="D14" s="2043" t="e">
        <f t="shared" si="3"/>
        <v>#N/A</v>
      </c>
      <c r="E14" s="1797" t="e">
        <f t="shared" si="4"/>
        <v>#N/A</v>
      </c>
      <c r="F14" s="1322">
        <f>SUMIF(TongHopKL!$B:$B,B14,TongHopKL!H:H)</f>
        <v>0</v>
      </c>
      <c r="G14" s="1322">
        <f>SUMIF(TongHopKL!$B:$B,B14,TongHopKL!I:I)</f>
        <v>0</v>
      </c>
      <c r="H14" s="1322" t="str">
        <f>VLOOKUP(K14,Solieu!A:C,2,0)</f>
        <v/>
      </c>
      <c r="I14" s="1319"/>
      <c r="J14" s="1211" t="str">
        <f t="shared" si="5"/>
        <v/>
      </c>
      <c r="K14" s="893" t="s">
        <v>4471</v>
      </c>
    </row>
    <row r="15" spans="2:11" ht="24" hidden="1" customHeight="1">
      <c r="B15" s="1325" t="s">
        <v>512</v>
      </c>
      <c r="C15" s="1797">
        <f>SUM($J$4:J15)</f>
        <v>0</v>
      </c>
      <c r="D15" s="2043" t="e">
        <f t="shared" si="3"/>
        <v>#N/A</v>
      </c>
      <c r="E15" s="1797" t="e">
        <f t="shared" si="4"/>
        <v>#N/A</v>
      </c>
      <c r="F15" s="1322">
        <f>SUMIF(TongHopKL!$B:$B,B15,TongHopKL!H:H)</f>
        <v>0</v>
      </c>
      <c r="G15" s="1322">
        <f>SUMIF(TongHopKL!$B:$B,B15,TongHopKL!I:I)</f>
        <v>0</v>
      </c>
      <c r="H15" s="1322" t="str">
        <f>VLOOKUP(K15,Solieu!A:C,2,0)</f>
        <v/>
      </c>
      <c r="I15" s="1319"/>
      <c r="J15" s="1211" t="str">
        <f t="shared" si="5"/>
        <v/>
      </c>
      <c r="K15" s="893" t="s">
        <v>4471</v>
      </c>
    </row>
    <row r="16" spans="2:11" ht="24" hidden="1" customHeight="1">
      <c r="B16" s="1325" t="s">
        <v>512</v>
      </c>
      <c r="C16" s="1797">
        <f>SUM($J$4:J16)</f>
        <v>0</v>
      </c>
      <c r="D16" s="2043" t="e">
        <f t="shared" si="3"/>
        <v>#N/A</v>
      </c>
      <c r="E16" s="1797" t="e">
        <f t="shared" si="4"/>
        <v>#N/A</v>
      </c>
      <c r="F16" s="1322">
        <f>SUMIF(TongHopKL!$B:$B,B16,TongHopKL!H:H)</f>
        <v>0</v>
      </c>
      <c r="G16" s="1322">
        <f>SUMIF(TongHopKL!$B:$B,B16,TongHopKL!I:I)</f>
        <v>0</v>
      </c>
      <c r="H16" s="1322" t="str">
        <f>VLOOKUP(K16,Solieu!A:C,2,0)</f>
        <v/>
      </c>
      <c r="I16" s="1319"/>
      <c r="J16" s="1211" t="str">
        <f t="shared" si="5"/>
        <v/>
      </c>
      <c r="K16" s="893" t="s">
        <v>4471</v>
      </c>
    </row>
    <row r="17" spans="2:11" ht="24" hidden="1" customHeight="1">
      <c r="B17" s="1325" t="s">
        <v>512</v>
      </c>
      <c r="C17" s="1318">
        <f>SUM($J$4:J17)</f>
        <v>0</v>
      </c>
      <c r="D17" s="2043" t="e">
        <f t="shared" si="0"/>
        <v>#N/A</v>
      </c>
      <c r="E17" s="1797" t="e">
        <f t="shared" si="1"/>
        <v>#N/A</v>
      </c>
      <c r="F17" s="1322">
        <f>SUMIF(TongHopKL!$B:$B,B17,TongHopKL!H:H)</f>
        <v>0</v>
      </c>
      <c r="G17" s="1322">
        <f>SUMIF(TongHopKL!$B:$B,B17,TongHopKL!I:I)</f>
        <v>0</v>
      </c>
      <c r="H17" s="1322" t="str">
        <f>VLOOKUP(K17,Solieu!A:C,2,0)</f>
        <v/>
      </c>
      <c r="I17" s="1319"/>
      <c r="J17" s="1211" t="str">
        <f t="shared" si="2"/>
        <v/>
      </c>
      <c r="K17" s="893" t="s">
        <v>4471</v>
      </c>
    </row>
    <row r="18" spans="2:11" ht="24" customHeight="1">
      <c r="B18" s="1325"/>
      <c r="C18" s="1797"/>
      <c r="D18" s="1798" t="s">
        <v>4232</v>
      </c>
      <c r="E18" s="1798"/>
      <c r="F18" s="1323">
        <f>SUM(F4:F17)</f>
        <v>0</v>
      </c>
      <c r="G18" s="1323">
        <f>SUM(G4:G17)</f>
        <v>0</v>
      </c>
      <c r="H18" s="1797"/>
      <c r="I18" s="1797"/>
      <c r="J18" s="1211">
        <v>1</v>
      </c>
    </row>
    <row r="19" spans="2:11" hidden="1">
      <c r="B19" s="1344" t="s">
        <v>2305</v>
      </c>
    </row>
    <row r="20" spans="2:11" hidden="1">
      <c r="B20" s="1344" t="s">
        <v>2306</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60"/>
      <c r="C1" s="1325"/>
      <c r="D1" s="1325" t="s">
        <v>4474</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6">
      <c r="A3" s="2660"/>
      <c r="C3" s="1798" t="s">
        <v>1708</v>
      </c>
      <c r="D3" s="1798" t="s">
        <v>4200</v>
      </c>
      <c r="E3" s="1798" t="s">
        <v>4201</v>
      </c>
      <c r="F3" s="1798" t="s">
        <v>4897</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4326</v>
      </c>
      <c r="C4" s="1797">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8"/>
      <c r="J4" s="1325" t="str">
        <f t="shared" ref="J4:J68" ca="1" si="4">IF(G4&gt;0,1,"")</f>
        <v/>
      </c>
      <c r="K4" s="2078" t="e">
        <f>SUMIF(#REF!,B4,#REF!)</f>
        <v>#REF!</v>
      </c>
      <c r="L4" s="1325">
        <v>1</v>
      </c>
      <c r="M4" s="1325" t="e">
        <f>K4-L4</f>
        <v>#REF!</v>
      </c>
      <c r="N4" s="1325"/>
      <c r="O4" s="1325"/>
      <c r="P4" s="1325"/>
      <c r="Q4" s="1325"/>
      <c r="R4" s="1325"/>
      <c r="S4" s="1325"/>
      <c r="T4" s="1325"/>
    </row>
    <row r="5" spans="1:20" ht="34.5" customHeight="1">
      <c r="A5" s="2660"/>
      <c r="B5" s="1381" t="s">
        <v>365</v>
      </c>
      <c r="C5" s="1797">
        <f ca="1">SUM($J$4:J5)</f>
        <v>0</v>
      </c>
      <c r="D5" s="1320" t="e">
        <f t="shared" si="0"/>
        <v>#N/A</v>
      </c>
      <c r="E5" s="1322" t="e">
        <f t="shared" si="1"/>
        <v>#N/A</v>
      </c>
      <c r="F5" s="1322">
        <f t="shared" ca="1" si="2"/>
        <v>0</v>
      </c>
      <c r="G5" s="1322">
        <f t="shared" ca="1" si="3"/>
        <v>0</v>
      </c>
      <c r="H5" s="1322" t="str">
        <f>VLOOKUP($D$1,Solieu!A:C,2,0)</f>
        <v>x</v>
      </c>
      <c r="I5" s="1798"/>
      <c r="J5" s="1325" t="str">
        <f t="shared" ca="1" si="4"/>
        <v/>
      </c>
      <c r="K5" s="2078" t="e">
        <f>SUMIF(#REF!,B5,#REF!)</f>
        <v>#REF!</v>
      </c>
      <c r="L5" s="1325">
        <v>1</v>
      </c>
      <c r="M5" s="1325" t="e">
        <f t="shared" ref="M5:M12" si="5">K5-L5</f>
        <v>#REF!</v>
      </c>
      <c r="N5" s="1325"/>
      <c r="O5" s="1325"/>
      <c r="P5" s="1325"/>
      <c r="Q5" s="1325"/>
      <c r="R5" s="1325"/>
      <c r="S5" s="1325"/>
      <c r="T5" s="1325"/>
    </row>
    <row r="6" spans="1:20" ht="34.5" hidden="1" customHeight="1">
      <c r="A6" s="2660"/>
      <c r="B6" s="1381" t="s">
        <v>2309</v>
      </c>
      <c r="C6" s="1797">
        <f ca="1">SUM($J$4:J6)</f>
        <v>0</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hidden="1" customHeight="1">
      <c r="A7" s="2660"/>
      <c r="B7" s="2077" t="s">
        <v>1291</v>
      </c>
      <c r="C7" s="1797">
        <f ca="1">SUM($J$4:J7)</f>
        <v>0</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hidden="1" customHeight="1">
      <c r="A8" s="2660"/>
      <c r="B8" s="1382" t="s">
        <v>2295</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hidden="1" customHeight="1">
      <c r="A9" s="2660"/>
      <c r="B9" s="1382" t="s">
        <v>2291</v>
      </c>
      <c r="C9" s="1318">
        <f ca="1">SUM($J$4:J9)</f>
        <v>0</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hidden="1" customHeight="1">
      <c r="A10" s="2660"/>
      <c r="B10" s="2079" t="s">
        <v>909</v>
      </c>
      <c r="C10" s="1797">
        <f ca="1">SUM($J$4:J10)</f>
        <v>0</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hidden="1" customHeight="1">
      <c r="A11" s="2660"/>
      <c r="B11" s="1381" t="s">
        <v>2294</v>
      </c>
      <c r="C11" s="1797">
        <f ca="1">SUM($J$4:J11)</f>
        <v>0</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hidden="1" customHeight="1">
      <c r="A12" s="2660"/>
      <c r="B12" s="1381" t="s">
        <v>2310</v>
      </c>
      <c r="C12" s="1797">
        <f ca="1">SUM($J$4:J12)</f>
        <v>0</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hidden="1" customHeight="1">
      <c r="A13" s="2660"/>
      <c r="B13" s="1381" t="s">
        <v>1082</v>
      </c>
      <c r="C13" s="1797">
        <f ca="1">SUM($J$4:J13)</f>
        <v>0</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hidden="1" customHeight="1">
      <c r="A14" s="2660"/>
      <c r="B14" s="1381" t="s">
        <v>533</v>
      </c>
      <c r="C14" s="1797">
        <f ca="1">SUM($J$4:J14)</f>
        <v>0</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hidden="1" customHeight="1">
      <c r="A15" s="2660"/>
      <c r="B15" s="1381" t="s">
        <v>1112</v>
      </c>
      <c r="C15" s="1797">
        <f ca="1">SUM($J$4:J15)</f>
        <v>0</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hidden="1" customHeight="1">
      <c r="A16" s="2660"/>
      <c r="B16" s="1381" t="s">
        <v>2296</v>
      </c>
      <c r="C16" s="1797">
        <f ca="1">SUM($J$4:J16)</f>
        <v>0</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hidden="1" customHeight="1">
      <c r="A17" s="2660"/>
      <c r="B17" s="1381" t="s">
        <v>910</v>
      </c>
      <c r="C17" s="1797">
        <f ca="1">SUM($J$4:J17)</f>
        <v>0</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hidden="1" customHeight="1">
      <c r="A18" s="2660"/>
      <c r="B18" s="1381" t="s">
        <v>713</v>
      </c>
      <c r="C18" s="1318">
        <f ca="1">SUM($J$4:J18)</f>
        <v>0</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60"/>
      <c r="B19" s="1381" t="s">
        <v>2297</v>
      </c>
      <c r="C19" s="1318">
        <f ca="1">SUM($J$4:J19)</f>
        <v>0</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60"/>
      <c r="B20" s="1381" t="s">
        <v>344</v>
      </c>
      <c r="C20" s="1318">
        <f ca="1">SUM($J$4:J20)</f>
        <v>0</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60"/>
      <c r="B21" s="1381" t="s">
        <v>2292</v>
      </c>
      <c r="C21" s="1318">
        <f ca="1">SUM($J$4:J21)</f>
        <v>0</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60"/>
      <c r="B22" s="1381" t="s">
        <v>893</v>
      </c>
      <c r="C22" s="1318">
        <f ca="1">SUM($J$4:J22)</f>
        <v>0</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60"/>
      <c r="B23" s="1381" t="s">
        <v>2293</v>
      </c>
      <c r="C23" s="1797">
        <f ca="1">SUM($J$4:J23)</f>
        <v>0</v>
      </c>
      <c r="D23" s="1320" t="e">
        <f t="shared" si="0"/>
        <v>#N/A</v>
      </c>
      <c r="E23" s="1322" t="e">
        <f t="shared" si="1"/>
        <v>#N/A</v>
      </c>
      <c r="F23" s="1322">
        <f t="shared" ca="1" si="2"/>
        <v>0</v>
      </c>
      <c r="G23" s="1322">
        <f t="shared" ca="1" si="3"/>
        <v>0</v>
      </c>
      <c r="H23" s="1322" t="str">
        <f>VLOOKUP($D$1,Solieu!A:C,2,0)</f>
        <v>x</v>
      </c>
      <c r="I23" s="1798"/>
      <c r="J23" s="1211" t="str">
        <f t="shared" ca="1" si="4"/>
        <v/>
      </c>
    </row>
    <row r="24" spans="1:20" ht="34.5" hidden="1" customHeight="1">
      <c r="A24" s="2660"/>
      <c r="B24" s="1381" t="s">
        <v>2119</v>
      </c>
      <c r="C24" s="1797">
        <f ca="1">SUM($J$4:J24)</f>
        <v>0</v>
      </c>
      <c r="D24" s="1320" t="e">
        <f t="shared" si="0"/>
        <v>#N/A</v>
      </c>
      <c r="E24" s="1322" t="e">
        <f t="shared" si="1"/>
        <v>#N/A</v>
      </c>
      <c r="F24" s="1322">
        <f t="shared" ca="1" si="2"/>
        <v>0</v>
      </c>
      <c r="G24" s="1322">
        <f t="shared" ca="1" si="3"/>
        <v>0</v>
      </c>
      <c r="H24" s="1322" t="str">
        <f>VLOOKUP($D$1,Solieu!A:C,2,0)</f>
        <v>x</v>
      </c>
      <c r="I24" s="1798"/>
      <c r="J24" s="1211" t="str">
        <f t="shared" ca="1" si="4"/>
        <v/>
      </c>
    </row>
    <row r="25" spans="1:20" ht="34.5" hidden="1" customHeight="1">
      <c r="A25" s="2660"/>
      <c r="B25" s="1381" t="s">
        <v>2298</v>
      </c>
      <c r="C25" s="1318">
        <f ca="1">SUM($J$4:J25)</f>
        <v>0</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60"/>
      <c r="B26" s="1381" t="s">
        <v>213</v>
      </c>
      <c r="C26" s="1318">
        <f ca="1">SUM($J$4:J26)</f>
        <v>0</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60"/>
      <c r="B27" s="1381" t="s">
        <v>2311</v>
      </c>
      <c r="C27" s="1318">
        <f ca="1">SUM($J$4:J27)</f>
        <v>0</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60"/>
      <c r="B28" s="1381" t="s">
        <v>1501</v>
      </c>
      <c r="C28" s="1318">
        <f ca="1">SUM($J$4:J28)</f>
        <v>0</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60"/>
      <c r="B29" s="1381" t="s">
        <v>1574</v>
      </c>
      <c r="C29" s="1318">
        <f ca="1">SUM($J$4:J29)</f>
        <v>0</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60"/>
      <c r="B30" s="1381" t="s">
        <v>105</v>
      </c>
      <c r="C30" s="1318">
        <f ca="1">SUM($J$4:J30)</f>
        <v>0</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60"/>
      <c r="B31" s="1381" t="s">
        <v>2299</v>
      </c>
      <c r="C31" s="1318">
        <f ca="1">SUM($J$4:J31)</f>
        <v>0</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60"/>
      <c r="B32" s="1381" t="s">
        <v>807</v>
      </c>
      <c r="C32" s="1318">
        <f ca="1">SUM($J$4:J32)</f>
        <v>0</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60"/>
      <c r="B33" s="1381" t="s">
        <v>1868</v>
      </c>
      <c r="C33" s="1318">
        <f ca="1">SUM($J$4:J33)</f>
        <v>0</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60"/>
      <c r="B34" s="1381" t="s">
        <v>4808</v>
      </c>
      <c r="C34" s="1318">
        <f ca="1">SUM($J$4:J34)</f>
        <v>0</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60"/>
      <c r="B35" s="1381" t="s">
        <v>4809</v>
      </c>
      <c r="C35" s="1318">
        <f ca="1">SUM($J$4:J35)</f>
        <v>0</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60"/>
      <c r="B36" s="1381" t="s">
        <v>6406</v>
      </c>
      <c r="C36" s="1797">
        <f ca="1">SUM($J$4:J36)</f>
        <v>0</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hidden="1" customHeight="1">
      <c r="A37" s="2660"/>
      <c r="B37" s="1381" t="s">
        <v>6407</v>
      </c>
      <c r="C37" s="1797">
        <f ca="1">SUM($J$4:J37)</f>
        <v>0</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hidden="1" customHeight="1">
      <c r="A38" s="2660"/>
      <c r="B38" s="1381" t="s">
        <v>6408</v>
      </c>
      <c r="C38" s="1797">
        <f ca="1">SUM($J$4:J38)</f>
        <v>0</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hidden="1" customHeight="1">
      <c r="A39" s="2660"/>
      <c r="B39" s="1381" t="s">
        <v>2499</v>
      </c>
      <c r="C39" s="1318">
        <f ca="1">SUM($J$4:J39)</f>
        <v>0</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60"/>
      <c r="B40" s="1381" t="s">
        <v>1621</v>
      </c>
      <c r="C40" s="1318">
        <f ca="1">SUM($J$4:J40)</f>
        <v>0</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60"/>
      <c r="B41" s="1381" t="s">
        <v>1622</v>
      </c>
      <c r="C41" s="1318">
        <f ca="1">SUM($J$4:J41)</f>
        <v>0</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60"/>
      <c r="B42" s="1381" t="s">
        <v>2160</v>
      </c>
      <c r="C42" s="1318">
        <f ca="1">SUM($J$4:J42)</f>
        <v>0</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60"/>
      <c r="B43" s="1381" t="s">
        <v>2534</v>
      </c>
      <c r="C43" s="1318">
        <f ca="1">SUM($J$4:J43)</f>
        <v>0</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60"/>
      <c r="B44" s="1381" t="s">
        <v>2536</v>
      </c>
      <c r="C44" s="1318">
        <f ca="1">SUM($J$4:J44)</f>
        <v>0</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60"/>
      <c r="B45" s="1381" t="s">
        <v>534</v>
      </c>
      <c r="C45" s="1318">
        <f ca="1">SUM($J$4:J45)</f>
        <v>0</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60"/>
      <c r="B46" s="1381" t="s">
        <v>2259</v>
      </c>
      <c r="C46" s="1318">
        <f ca="1">SUM($J$4:J46)</f>
        <v>0</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60"/>
      <c r="B47" s="1381" t="s">
        <v>667</v>
      </c>
      <c r="C47" s="1318">
        <f ca="1">SUM($J$4:J47)</f>
        <v>0</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60"/>
      <c r="B48" s="1381" t="s">
        <v>1449</v>
      </c>
      <c r="C48" s="1318">
        <f ca="1">SUM($J$4:J48)</f>
        <v>0</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0</v>
      </c>
      <c r="D49" s="1320" t="e">
        <f t="shared" si="6"/>
        <v>#N/A</v>
      </c>
      <c r="E49" s="1322" t="e">
        <f t="shared" si="7"/>
        <v>#N/A</v>
      </c>
      <c r="F49" s="1322">
        <f t="shared" ca="1" si="8"/>
        <v>0</v>
      </c>
      <c r="G49" s="1322">
        <f t="shared" ca="1" si="9"/>
        <v>0</v>
      </c>
      <c r="H49" s="1322" t="str">
        <f>VLOOKUP($D$1,Solieu!A:C,2,0)</f>
        <v>x</v>
      </c>
      <c r="I49" s="1317"/>
      <c r="J49" s="1211" t="str">
        <f t="shared" ca="1" si="4"/>
        <v/>
      </c>
    </row>
    <row r="50" spans="1:10" ht="34.5" hidden="1" customHeight="1">
      <c r="A50" s="2660"/>
      <c r="B50" s="1381" t="s">
        <v>4900</v>
      </c>
      <c r="C50" s="1318">
        <f ca="1">SUM($J$4:J50)</f>
        <v>0</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60"/>
      <c r="B51" s="1381" t="s">
        <v>2128</v>
      </c>
      <c r="C51" s="1318">
        <f ca="1">SUM($J$4:J51)</f>
        <v>0</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60"/>
      <c r="B52" s="1381" t="s">
        <v>1029</v>
      </c>
      <c r="C52" s="1318">
        <f ca="1">SUM($J$4:J52)</f>
        <v>0</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60"/>
      <c r="B53" s="1381" t="s">
        <v>538</v>
      </c>
      <c r="C53" s="1318">
        <f ca="1">SUM($J$4:J53)</f>
        <v>0</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60"/>
      <c r="B54" s="1381" t="s">
        <v>580</v>
      </c>
      <c r="C54" s="1318">
        <f ca="1">SUM($J$4:J54)</f>
        <v>0</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60"/>
      <c r="B55" s="1381" t="s">
        <v>1875</v>
      </c>
      <c r="C55" s="1318">
        <f ca="1">SUM($J$4:J55)</f>
        <v>0</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60"/>
      <c r="B56" s="1381" t="s">
        <v>826</v>
      </c>
      <c r="C56" s="1318">
        <f ca="1">SUM($J$4:J56)</f>
        <v>0</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60"/>
      <c r="B57" s="1451" t="s">
        <v>2060</v>
      </c>
      <c r="C57" s="1318">
        <f ca="1">SUM($J$4:J57)</f>
        <v>0</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60"/>
      <c r="B58" s="1381" t="s">
        <v>1693</v>
      </c>
      <c r="C58" s="1318">
        <f ca="1">SUM($J$4:J58)</f>
        <v>0</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60"/>
      <c r="B59" s="1381" t="s">
        <v>1692</v>
      </c>
      <c r="C59" s="1318">
        <f ca="1">SUM($J$4:J59)</f>
        <v>0</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60"/>
      <c r="B60" s="1381" t="s">
        <v>1159</v>
      </c>
      <c r="C60" s="1318">
        <f ca="1">SUM($J$4:J60)</f>
        <v>0</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60"/>
      <c r="B61" s="1676" t="s">
        <v>1158</v>
      </c>
      <c r="C61" s="1318">
        <f ca="1">SUM($J$4:J61)</f>
        <v>0</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60"/>
      <c r="B62" s="1676" t="s">
        <v>146</v>
      </c>
      <c r="C62" s="1318">
        <f ca="1">SUM($J$4:J62)</f>
        <v>0</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60"/>
      <c r="B63" s="1676" t="s">
        <v>1734</v>
      </c>
      <c r="C63" s="1318">
        <f ca="1">SUM($J$4:J63)</f>
        <v>0</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60"/>
      <c r="B64" s="1676" t="s">
        <v>2208</v>
      </c>
      <c r="C64" s="1318">
        <f ca="1">SUM($J$4:J64)</f>
        <v>0</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60"/>
      <c r="B65" s="1676" t="s">
        <v>2024</v>
      </c>
      <c r="C65" s="1318">
        <f ca="1">SUM($J$4:J65)</f>
        <v>0</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60"/>
      <c r="B66" s="1676" t="s">
        <v>4493</v>
      </c>
      <c r="C66" s="1318">
        <f ca="1">SUM($J$4:J66)</f>
        <v>0</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60"/>
      <c r="B67" s="1676" t="s">
        <v>2211</v>
      </c>
      <c r="C67" s="1318">
        <f ca="1">SUM($J$4:J67)</f>
        <v>0</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60"/>
      <c r="B68" s="1676" t="s">
        <v>2210</v>
      </c>
      <c r="C68" s="1318">
        <f ca="1">SUM($J$4:J68)</f>
        <v>0</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60"/>
      <c r="B69" s="1676" t="s">
        <v>2209</v>
      </c>
      <c r="C69" s="1318">
        <f ca="1">SUM($J$4:J69)</f>
        <v>0</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60"/>
      <c r="B70" s="1676" t="s">
        <v>2061</v>
      </c>
      <c r="C70" s="1318">
        <f ca="1">SUM($J$4:J70)</f>
        <v>0</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60"/>
      <c r="B71" s="1676" t="s">
        <v>313</v>
      </c>
      <c r="C71" s="1318">
        <f ca="1">SUM($J$4:J71)</f>
        <v>0</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60"/>
      <c r="B72" s="1676" t="s">
        <v>2258</v>
      </c>
      <c r="C72" s="1318">
        <f ca="1">SUM($J$4:J72)</f>
        <v>0</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60"/>
      <c r="B73" s="1676" t="s">
        <v>1429</v>
      </c>
      <c r="C73" s="1318">
        <f ca="1">SUM($J$4:J73)</f>
        <v>0</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1428</v>
      </c>
      <c r="C74" s="1797">
        <f ca="1">SUM($J$4:J74)</f>
        <v>0</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hidden="1">
      <c r="B75" s="1381" t="s">
        <v>2219</v>
      </c>
      <c r="C75" s="1797">
        <f ca="1">SUM($J$4:J75)</f>
        <v>0</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hidden="1">
      <c r="B76" s="1381" t="s">
        <v>1156</v>
      </c>
      <c r="C76" s="1797">
        <f ca="1">SUM($J$4:J76)</f>
        <v>0</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hidden="1">
      <c r="B77" s="1381" t="s">
        <v>1157</v>
      </c>
      <c r="C77" s="1797">
        <f ca="1">SUM($J$4:J77)</f>
        <v>0</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hidden="1">
      <c r="B78" s="1381" t="s">
        <v>1379</v>
      </c>
      <c r="C78" s="1797">
        <f ca="1">SUM($J$4:J78)</f>
        <v>0</v>
      </c>
      <c r="D78" s="1320" t="e">
        <f t="shared" si="15"/>
        <v>#N/A</v>
      </c>
      <c r="E78" s="1322" t="e">
        <f t="shared" si="16"/>
        <v>#N/A</v>
      </c>
      <c r="F78" s="1322">
        <f t="shared" ca="1" si="17"/>
        <v>0</v>
      </c>
      <c r="G78" s="1322">
        <f t="shared" ca="1" si="18"/>
        <v>0</v>
      </c>
      <c r="H78" s="1322" t="str">
        <f>VLOOKUP($D$1,Solieu!A:C,2,0)</f>
        <v>x</v>
      </c>
      <c r="I78" s="1798"/>
      <c r="J78" s="1211" t="str">
        <f t="shared" ca="1" si="14"/>
        <v/>
      </c>
    </row>
    <row r="79" spans="1:10" hidden="1">
      <c r="B79" s="1382" t="s">
        <v>887</v>
      </c>
      <c r="C79" s="1797">
        <f ca="1">SUM($J$4:J79)</f>
        <v>0</v>
      </c>
      <c r="D79" s="1320" t="e">
        <f t="shared" si="15"/>
        <v>#N/A</v>
      </c>
      <c r="E79" s="1322" t="e">
        <f t="shared" si="16"/>
        <v>#N/A</v>
      </c>
      <c r="F79" s="1322">
        <f t="shared" ca="1" si="17"/>
        <v>0</v>
      </c>
      <c r="G79" s="1322">
        <f t="shared" ca="1" si="18"/>
        <v>0</v>
      </c>
      <c r="H79" s="1322" t="str">
        <f>VLOOKUP($D$1,Solieu!A:C,2,0)</f>
        <v>x</v>
      </c>
      <c r="I79" s="1798"/>
      <c r="J79" s="1211" t="str">
        <f t="shared" ca="1" si="14"/>
        <v/>
      </c>
    </row>
    <row r="80" spans="1:10" hidden="1">
      <c r="B80" s="1381" t="s">
        <v>628</v>
      </c>
      <c r="C80" s="1797">
        <f ca="1">SUM($J$4:J80)</f>
        <v>0</v>
      </c>
      <c r="D80" s="1320" t="e">
        <f t="shared" si="15"/>
        <v>#N/A</v>
      </c>
      <c r="E80" s="1322" t="e">
        <f t="shared" si="16"/>
        <v>#N/A</v>
      </c>
      <c r="F80" s="1322">
        <f t="shared" ca="1" si="17"/>
        <v>0</v>
      </c>
      <c r="G80" s="1322">
        <f t="shared" ca="1" si="18"/>
        <v>0</v>
      </c>
      <c r="H80" s="1322" t="str">
        <f>VLOOKUP($D$1,Solieu!A:C,2,0)</f>
        <v>x</v>
      </c>
      <c r="I80" s="1798"/>
      <c r="J80" s="1211" t="str">
        <f t="shared" ca="1" si="14"/>
        <v/>
      </c>
    </row>
    <row r="81" spans="2:10" hidden="1">
      <c r="B81" s="1381" t="s">
        <v>615</v>
      </c>
      <c r="C81" s="1797">
        <f ca="1">SUM($J$4:J81)</f>
        <v>0</v>
      </c>
      <c r="D81" s="1320" t="e">
        <f t="shared" si="15"/>
        <v>#N/A</v>
      </c>
      <c r="E81" s="1322" t="e">
        <f t="shared" si="16"/>
        <v>#N/A</v>
      </c>
      <c r="F81" s="1322">
        <f t="shared" ca="1" si="17"/>
        <v>0</v>
      </c>
      <c r="G81" s="1322">
        <f t="shared" ca="1" si="18"/>
        <v>0</v>
      </c>
      <c r="H81" s="1322" t="str">
        <f>VLOOKUP($D$1,Solieu!A:C,2,0)</f>
        <v>x</v>
      </c>
      <c r="I81" s="1798"/>
      <c r="J81" s="1211" t="str">
        <f t="shared" ca="1" si="14"/>
        <v/>
      </c>
    </row>
    <row r="82" spans="2:10" hidden="1">
      <c r="B82" s="1381" t="s">
        <v>1024</v>
      </c>
      <c r="C82" s="1797">
        <f ca="1">SUM($J$4:J82)</f>
        <v>0</v>
      </c>
      <c r="D82" s="1320" t="e">
        <f t="shared" si="15"/>
        <v>#N/A</v>
      </c>
      <c r="E82" s="1322" t="e">
        <f t="shared" si="16"/>
        <v>#N/A</v>
      </c>
      <c r="F82" s="1322">
        <f t="shared" ca="1" si="17"/>
        <v>0</v>
      </c>
      <c r="G82" s="1322">
        <f t="shared" ca="1" si="18"/>
        <v>0</v>
      </c>
      <c r="H82" s="1322" t="str">
        <f>VLOOKUP($D$1,Solieu!A:C,2,0)</f>
        <v>x</v>
      </c>
      <c r="I82" s="1798"/>
      <c r="J82" s="1211" t="str">
        <f t="shared" ca="1" si="14"/>
        <v/>
      </c>
    </row>
    <row r="83" spans="2:10" hidden="1">
      <c r="B83" s="1381" t="s">
        <v>838</v>
      </c>
      <c r="C83" s="1797">
        <f ca="1">SUM($J$4:J83)</f>
        <v>0</v>
      </c>
      <c r="D83" s="1320" t="e">
        <f t="shared" si="15"/>
        <v>#N/A</v>
      </c>
      <c r="E83" s="1322" t="e">
        <f t="shared" si="16"/>
        <v>#N/A</v>
      </c>
      <c r="F83" s="1322">
        <f t="shared" ca="1" si="17"/>
        <v>0</v>
      </c>
      <c r="G83" s="1322">
        <f t="shared" ca="1" si="18"/>
        <v>0</v>
      </c>
      <c r="H83" s="1322" t="str">
        <f>VLOOKUP($D$1,Solieu!A:C,2,0)</f>
        <v>x</v>
      </c>
      <c r="I83" s="1798"/>
      <c r="J83" s="1211" t="str">
        <f t="shared" ca="1" si="14"/>
        <v/>
      </c>
    </row>
    <row r="84" spans="2:10">
      <c r="B84" s="1381" t="s">
        <v>1915</v>
      </c>
      <c r="C84" s="1797">
        <f ca="1">SUM($J$4:J84)</f>
        <v>0</v>
      </c>
      <c r="D84" s="1320" t="e">
        <f t="shared" si="15"/>
        <v>#N/A</v>
      </c>
      <c r="E84" s="1322" t="e">
        <f t="shared" si="16"/>
        <v>#N/A</v>
      </c>
      <c r="F84" s="1322">
        <f t="shared" ca="1" si="17"/>
        <v>0</v>
      </c>
      <c r="G84" s="1322">
        <f t="shared" ca="1" si="18"/>
        <v>0</v>
      </c>
      <c r="H84" s="1322" t="str">
        <f>VLOOKUP($D$1,Solieu!A:C,2,0)</f>
        <v>x</v>
      </c>
      <c r="I84" s="1798"/>
      <c r="J84" s="1211" t="str">
        <f t="shared" ca="1" si="14"/>
        <v/>
      </c>
    </row>
    <row r="85" spans="2:10" hidden="1">
      <c r="B85" s="1381" t="s">
        <v>1026</v>
      </c>
      <c r="C85" s="1797">
        <f ca="1">SUM($J$4:J85)</f>
        <v>0</v>
      </c>
      <c r="D85" s="1320" t="e">
        <f t="shared" si="15"/>
        <v>#N/A</v>
      </c>
      <c r="E85" s="1322" t="e">
        <f t="shared" si="16"/>
        <v>#N/A</v>
      </c>
      <c r="F85" s="1322">
        <f t="shared" ca="1" si="17"/>
        <v>0</v>
      </c>
      <c r="G85" s="1322">
        <f t="shared" ca="1" si="18"/>
        <v>0</v>
      </c>
      <c r="H85" s="1322" t="str">
        <f>VLOOKUP($D$1,Solieu!A:C,2,0)</f>
        <v>x</v>
      </c>
      <c r="I85" s="1798"/>
      <c r="J85" s="1211" t="str">
        <f t="shared" ca="1" si="14"/>
        <v/>
      </c>
    </row>
    <row r="86" spans="2:10" hidden="1">
      <c r="B86" s="1381" t="s">
        <v>1504</v>
      </c>
      <c r="C86" s="1797">
        <f ca="1">SUM($J$4:J86)</f>
        <v>0</v>
      </c>
      <c r="D86" s="1320" t="e">
        <f t="shared" si="15"/>
        <v>#N/A</v>
      </c>
      <c r="E86" s="1322" t="e">
        <f t="shared" si="16"/>
        <v>#N/A</v>
      </c>
      <c r="F86" s="1322">
        <f t="shared" ca="1" si="17"/>
        <v>0</v>
      </c>
      <c r="G86" s="1322">
        <f t="shared" ca="1" si="18"/>
        <v>0</v>
      </c>
      <c r="H86" s="1322" t="str">
        <f>VLOOKUP($D$1,Solieu!A:C,2,0)</f>
        <v>x</v>
      </c>
      <c r="I86" s="1798"/>
      <c r="J86" s="1211" t="str">
        <f t="shared" ca="1" si="14"/>
        <v/>
      </c>
    </row>
    <row r="87" spans="2:10" hidden="1">
      <c r="B87" s="1381" t="s">
        <v>917</v>
      </c>
      <c r="C87" s="1797">
        <f ca="1">SUM($J$4:J87)</f>
        <v>0</v>
      </c>
      <c r="D87" s="1320" t="e">
        <f t="shared" si="15"/>
        <v>#N/A</v>
      </c>
      <c r="E87" s="1322" t="e">
        <f t="shared" si="16"/>
        <v>#N/A</v>
      </c>
      <c r="F87" s="1322">
        <f t="shared" ca="1" si="17"/>
        <v>0</v>
      </c>
      <c r="G87" s="1322">
        <f t="shared" ca="1" si="18"/>
        <v>0</v>
      </c>
      <c r="H87" s="1322" t="str">
        <f>VLOOKUP($D$1,Solieu!A:C,2,0)</f>
        <v>x</v>
      </c>
      <c r="I87" s="1798"/>
      <c r="J87" s="1211" t="str">
        <f t="shared" ca="1" si="14"/>
        <v/>
      </c>
    </row>
    <row r="88" spans="2:10" hidden="1">
      <c r="B88" s="1381" t="s">
        <v>1000</v>
      </c>
      <c r="C88" s="1797">
        <f ca="1">SUM($J$4:J88)</f>
        <v>0</v>
      </c>
      <c r="D88" s="1320" t="e">
        <f t="shared" si="15"/>
        <v>#N/A</v>
      </c>
      <c r="E88" s="1322" t="e">
        <f t="shared" si="16"/>
        <v>#N/A</v>
      </c>
      <c r="F88" s="1322">
        <f t="shared" ca="1" si="17"/>
        <v>0</v>
      </c>
      <c r="G88" s="1322">
        <f t="shared" ca="1" si="18"/>
        <v>0</v>
      </c>
      <c r="H88" s="1322" t="str">
        <f>VLOOKUP($D$1,Solieu!A:C,2,0)</f>
        <v>x</v>
      </c>
      <c r="I88" s="1798"/>
      <c r="J88" s="1211" t="str">
        <f t="shared" ca="1" si="14"/>
        <v/>
      </c>
    </row>
    <row r="89" spans="2:10" hidden="1">
      <c r="B89" s="1381" t="s">
        <v>1587</v>
      </c>
      <c r="C89" s="1797">
        <f ca="1">SUM($J$4:J89)</f>
        <v>0</v>
      </c>
      <c r="D89" s="1320" t="e">
        <f t="shared" si="15"/>
        <v>#N/A</v>
      </c>
      <c r="E89" s="1322" t="e">
        <f t="shared" si="16"/>
        <v>#N/A</v>
      </c>
      <c r="F89" s="1322">
        <f t="shared" ca="1" si="17"/>
        <v>0</v>
      </c>
      <c r="G89" s="1322">
        <f t="shared" ca="1" si="18"/>
        <v>0</v>
      </c>
      <c r="H89" s="1322" t="str">
        <f>VLOOKUP($D$1,Solieu!A:C,2,0)</f>
        <v>x</v>
      </c>
      <c r="I89" s="1798"/>
      <c r="J89" s="1211" t="str">
        <f t="shared" ca="1" si="14"/>
        <v/>
      </c>
    </row>
    <row r="90" spans="2:10" hidden="1">
      <c r="B90" s="1381" t="s">
        <v>4986</v>
      </c>
      <c r="C90" s="1797">
        <f ca="1">SUM($J$4:J90)</f>
        <v>0</v>
      </c>
      <c r="D90" s="1320" t="e">
        <f t="shared" si="15"/>
        <v>#N/A</v>
      </c>
      <c r="E90" s="1322" t="e">
        <f t="shared" si="16"/>
        <v>#N/A</v>
      </c>
      <c r="F90" s="1322">
        <f t="shared" ca="1" si="17"/>
        <v>0</v>
      </c>
      <c r="G90" s="1322">
        <f t="shared" ca="1" si="18"/>
        <v>0</v>
      </c>
      <c r="H90" s="1322" t="str">
        <f>VLOOKUP($D$1,Solieu!A:C,2,0)</f>
        <v>x</v>
      </c>
      <c r="I90" s="1798"/>
      <c r="J90" s="1211" t="str">
        <f t="shared" ca="1" si="14"/>
        <v/>
      </c>
    </row>
    <row r="91" spans="2:10" hidden="1">
      <c r="B91" s="1381" t="s">
        <v>1136</v>
      </c>
      <c r="C91" s="1797">
        <f ca="1">SUM($J$4:J91)</f>
        <v>0</v>
      </c>
      <c r="D91" s="1320" t="e">
        <f t="shared" si="15"/>
        <v>#N/A</v>
      </c>
      <c r="E91" s="1322" t="e">
        <f t="shared" si="16"/>
        <v>#N/A</v>
      </c>
      <c r="F91" s="1322">
        <f t="shared" ca="1" si="17"/>
        <v>0</v>
      </c>
      <c r="G91" s="1322">
        <f t="shared" ca="1" si="18"/>
        <v>0</v>
      </c>
      <c r="H91" s="1322" t="str">
        <f>VLOOKUP($D$1,Solieu!A:C,2,0)</f>
        <v>x</v>
      </c>
      <c r="I91" s="1798"/>
      <c r="J91" s="1211" t="str">
        <f t="shared" ca="1" si="14"/>
        <v/>
      </c>
    </row>
    <row r="92" spans="2:10" hidden="1">
      <c r="B92" s="1381" t="s">
        <v>1408</v>
      </c>
      <c r="C92" s="1797">
        <f ca="1">SUM($J$4:J92)</f>
        <v>0</v>
      </c>
      <c r="D92" s="1320" t="e">
        <f t="shared" si="15"/>
        <v>#N/A</v>
      </c>
      <c r="E92" s="1322" t="e">
        <f t="shared" si="16"/>
        <v>#N/A</v>
      </c>
      <c r="F92" s="1322">
        <f t="shared" ca="1" si="17"/>
        <v>0</v>
      </c>
      <c r="G92" s="1322">
        <f t="shared" ca="1" si="18"/>
        <v>0</v>
      </c>
      <c r="H92" s="1322" t="str">
        <f>VLOOKUP($D$1,Solieu!A:C,2,0)</f>
        <v>x</v>
      </c>
      <c r="I92" s="1798"/>
      <c r="J92" s="1211" t="str">
        <f t="shared" ca="1" si="14"/>
        <v/>
      </c>
    </row>
    <row r="93" spans="2:10" hidden="1">
      <c r="B93" s="1381" t="s">
        <v>1138</v>
      </c>
      <c r="C93" s="1797">
        <f ca="1">SUM($J$4:J93)</f>
        <v>0</v>
      </c>
      <c r="D93" s="1320" t="e">
        <f t="shared" si="15"/>
        <v>#N/A</v>
      </c>
      <c r="E93" s="1322" t="e">
        <f t="shared" si="16"/>
        <v>#N/A</v>
      </c>
      <c r="F93" s="1322">
        <f t="shared" ca="1" si="17"/>
        <v>0</v>
      </c>
      <c r="G93" s="1322">
        <f t="shared" ca="1" si="18"/>
        <v>0</v>
      </c>
      <c r="H93" s="1322" t="str">
        <f>VLOOKUP($D$1,Solieu!A:C,2,0)</f>
        <v>x</v>
      </c>
      <c r="I93" s="1798"/>
      <c r="J93" s="1211" t="str">
        <f t="shared" ca="1" si="14"/>
        <v/>
      </c>
    </row>
    <row r="94" spans="2:10" hidden="1">
      <c r="B94" s="1381" t="s">
        <v>1137</v>
      </c>
      <c r="C94" s="1797">
        <f ca="1">SUM($J$4:J94)</f>
        <v>0</v>
      </c>
      <c r="D94" s="1320" t="e">
        <f t="shared" si="15"/>
        <v>#N/A</v>
      </c>
      <c r="E94" s="1322" t="e">
        <f t="shared" si="16"/>
        <v>#N/A</v>
      </c>
      <c r="F94" s="1322">
        <f t="shared" ca="1" si="17"/>
        <v>0</v>
      </c>
      <c r="G94" s="1322">
        <f t="shared" ca="1" si="18"/>
        <v>0</v>
      </c>
      <c r="H94" s="1322" t="str">
        <f>VLOOKUP($D$1,Solieu!A:C,2,0)</f>
        <v>x</v>
      </c>
      <c r="I94" s="1798"/>
      <c r="J94" s="1211" t="str">
        <f t="shared" ca="1" si="14"/>
        <v/>
      </c>
    </row>
    <row r="95" spans="2:10" hidden="1">
      <c r="B95" s="1381" t="s">
        <v>4826</v>
      </c>
      <c r="C95" s="1797">
        <f ca="1">SUM($J$4:J95)</f>
        <v>0</v>
      </c>
      <c r="D95" s="1320" t="e">
        <f t="shared" si="15"/>
        <v>#N/A</v>
      </c>
      <c r="E95" s="1322" t="e">
        <f t="shared" si="16"/>
        <v>#N/A</v>
      </c>
      <c r="F95" s="1322">
        <f t="shared" ca="1" si="17"/>
        <v>0</v>
      </c>
      <c r="G95" s="1322">
        <f t="shared" ca="1" si="18"/>
        <v>0</v>
      </c>
      <c r="H95" s="1322" t="str">
        <f>VLOOKUP($D$1,Solieu!A:C,2,0)</f>
        <v>x</v>
      </c>
      <c r="I95" s="1798"/>
      <c r="J95" s="1211" t="str">
        <f t="shared" ca="1" si="14"/>
        <v/>
      </c>
    </row>
    <row r="96" spans="2:10" hidden="1">
      <c r="B96" s="1381" t="s">
        <v>4827</v>
      </c>
      <c r="C96" s="1797">
        <f ca="1">SUM($J$4:J96)</f>
        <v>0</v>
      </c>
      <c r="D96" s="1320" t="e">
        <f t="shared" si="15"/>
        <v>#N/A</v>
      </c>
      <c r="E96" s="1322" t="e">
        <f t="shared" si="16"/>
        <v>#N/A</v>
      </c>
      <c r="F96" s="1322">
        <f t="shared" ca="1" si="17"/>
        <v>0</v>
      </c>
      <c r="G96" s="1322">
        <f t="shared" ca="1" si="18"/>
        <v>0</v>
      </c>
      <c r="H96" s="1322" t="str">
        <f>VLOOKUP($D$1,Solieu!A:C,2,0)</f>
        <v>x</v>
      </c>
      <c r="I96" s="1798"/>
      <c r="J96" s="1211" t="str">
        <f t="shared" ca="1" si="14"/>
        <v/>
      </c>
    </row>
    <row r="97" spans="2:10" hidden="1">
      <c r="B97" s="1381" t="s">
        <v>4828</v>
      </c>
      <c r="C97" s="1797">
        <f ca="1">SUM($J$4:J97)</f>
        <v>0</v>
      </c>
      <c r="D97" s="1320" t="e">
        <f t="shared" si="15"/>
        <v>#N/A</v>
      </c>
      <c r="E97" s="1322" t="e">
        <f t="shared" si="16"/>
        <v>#N/A</v>
      </c>
      <c r="F97" s="1322">
        <f t="shared" ca="1" si="17"/>
        <v>0</v>
      </c>
      <c r="G97" s="1322">
        <f t="shared" ca="1" si="18"/>
        <v>0</v>
      </c>
      <c r="H97" s="1322" t="str">
        <f>VLOOKUP($D$1,Solieu!A:C,2,0)</f>
        <v>x</v>
      </c>
      <c r="I97" s="1798"/>
      <c r="J97" s="1211" t="str">
        <f t="shared" ca="1" si="14"/>
        <v/>
      </c>
    </row>
    <row r="98" spans="2:10" hidden="1">
      <c r="B98" s="1381" t="s">
        <v>4829</v>
      </c>
      <c r="C98" s="1797">
        <f ca="1">SUM($J$4:J98)</f>
        <v>0</v>
      </c>
      <c r="D98" s="1320" t="e">
        <f t="shared" si="15"/>
        <v>#N/A</v>
      </c>
      <c r="E98" s="1322" t="e">
        <f t="shared" si="16"/>
        <v>#N/A</v>
      </c>
      <c r="F98" s="1322">
        <f t="shared" ca="1" si="17"/>
        <v>0</v>
      </c>
      <c r="G98" s="1322">
        <f t="shared" ca="1" si="18"/>
        <v>0</v>
      </c>
      <c r="H98" s="1322" t="str">
        <f>VLOOKUP($D$1,Solieu!A:C,2,0)</f>
        <v>x</v>
      </c>
      <c r="I98" s="1798"/>
      <c r="J98" s="1211" t="str">
        <f t="shared" ca="1" si="14"/>
        <v/>
      </c>
    </row>
    <row r="99" spans="2:10" hidden="1">
      <c r="B99" s="1381" t="s">
        <v>4830</v>
      </c>
      <c r="C99" s="1797">
        <f ca="1">SUM($J$4:J99)</f>
        <v>0</v>
      </c>
      <c r="D99" s="1320" t="e">
        <f t="shared" si="15"/>
        <v>#N/A</v>
      </c>
      <c r="E99" s="1322" t="e">
        <f t="shared" si="16"/>
        <v>#N/A</v>
      </c>
      <c r="F99" s="1322">
        <f t="shared" ca="1" si="17"/>
        <v>0</v>
      </c>
      <c r="G99" s="1322">
        <f t="shared" ca="1" si="18"/>
        <v>0</v>
      </c>
      <c r="H99" s="1322" t="str">
        <f>VLOOKUP($D$1,Solieu!A:C,2,0)</f>
        <v>x</v>
      </c>
      <c r="I99" s="1798"/>
      <c r="J99" s="1211" t="str">
        <f t="shared" ca="1" si="14"/>
        <v/>
      </c>
    </row>
    <row r="100" spans="2:10" hidden="1">
      <c r="B100" s="1381" t="s">
        <v>4831</v>
      </c>
      <c r="C100" s="1797">
        <f ca="1">SUM($J$4:J100)</f>
        <v>0</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hidden="1">
      <c r="B101" s="1381" t="s">
        <v>4832</v>
      </c>
      <c r="C101" s="1797">
        <f ca="1">SUM($J$4:J101)</f>
        <v>0</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hidden="1">
      <c r="B102" s="1381" t="s">
        <v>2506</v>
      </c>
      <c r="C102" s="1797">
        <f ca="1">SUM($J$4:J102)</f>
        <v>0</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hidden="1">
      <c r="B103" s="1381" t="s">
        <v>2508</v>
      </c>
      <c r="C103" s="1797">
        <f ca="1">SUM($J$4:J103)</f>
        <v>0</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hidden="1">
      <c r="B104" s="1381" t="s">
        <v>2510</v>
      </c>
      <c r="C104" s="1797">
        <f ca="1">SUM($J$4:J104)</f>
        <v>0</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hidden="1">
      <c r="B105" s="1381" t="s">
        <v>2513</v>
      </c>
      <c r="C105" s="1797">
        <f ca="1">SUM($J$4:J105)</f>
        <v>0</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hidden="1">
      <c r="B106" s="1381" t="s">
        <v>2515</v>
      </c>
      <c r="C106" s="1797">
        <f ca="1">SUM($J$4:J106)</f>
        <v>0</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hidden="1">
      <c r="B107" s="1381" t="s">
        <v>2529</v>
      </c>
      <c r="C107" s="1797">
        <f ca="1">SUM($J$4:J107)</f>
        <v>0</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hidden="1">
      <c r="B108" s="1381" t="s">
        <v>2541</v>
      </c>
      <c r="C108" s="1797">
        <f ca="1">SUM($J$4:J108)</f>
        <v>0</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5630</v>
      </c>
      <c r="C109" s="1797">
        <f ca="1">SUM($J$4:J109)</f>
        <v>0</v>
      </c>
      <c r="D109" s="1320" t="e">
        <f t="shared" si="15"/>
        <v>#N/A</v>
      </c>
      <c r="E109" s="1322" t="e">
        <f t="shared" si="16"/>
        <v>#N/A</v>
      </c>
      <c r="F109" s="1322">
        <f t="shared" ca="1" si="17"/>
        <v>0</v>
      </c>
      <c r="G109" s="1322">
        <f t="shared" ca="1" si="18"/>
        <v>0</v>
      </c>
      <c r="H109" s="1322" t="str">
        <f>VLOOKUP($D$1,Solieu!A:C,2,0)</f>
        <v>x</v>
      </c>
      <c r="I109" s="1798"/>
      <c r="J109" s="1211" t="str">
        <f t="shared" ca="1" si="14"/>
        <v/>
      </c>
    </row>
    <row r="110" spans="2:10" hidden="1">
      <c r="B110" s="1381" t="s">
        <v>5632</v>
      </c>
      <c r="C110" s="1797">
        <f ca="1">SUM($J$4:J110)</f>
        <v>0</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hidden="1">
      <c r="B111" s="1381" t="s">
        <v>5634</v>
      </c>
      <c r="C111" s="1797">
        <f ca="1">SUM($J$4:J111)</f>
        <v>0</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hidden="1">
      <c r="B112" s="1381" t="s">
        <v>5637</v>
      </c>
      <c r="C112" s="1797">
        <f ca="1">SUM($J$4:J112)</f>
        <v>0</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hidden="1">
      <c r="B113" s="1381" t="s">
        <v>5639</v>
      </c>
      <c r="C113" s="1797">
        <f ca="1">SUM($J$4:J113)</f>
        <v>0</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hidden="1">
      <c r="B114" s="1381" t="s">
        <v>5641</v>
      </c>
      <c r="C114" s="1797">
        <f ca="1">SUM($J$4:J114)</f>
        <v>0</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hidden="1">
      <c r="B115" s="1381" t="s">
        <v>5643</v>
      </c>
      <c r="C115" s="1797">
        <f ca="1">SUM($J$4:J115)</f>
        <v>0</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hidden="1">
      <c r="B116" s="1381" t="s">
        <v>5645</v>
      </c>
      <c r="C116" s="1797">
        <f ca="1">SUM($J$4:J116)</f>
        <v>0</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hidden="1">
      <c r="B117" s="1381" t="s">
        <v>5647</v>
      </c>
      <c r="C117" s="1797">
        <f ca="1">SUM($J$4:J117)</f>
        <v>0</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hidden="1">
      <c r="B118" s="1381" t="s">
        <v>5649</v>
      </c>
      <c r="C118" s="1797">
        <f ca="1">SUM($J$4:J118)</f>
        <v>0</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hidden="1">
      <c r="B119" s="1381" t="s">
        <v>5650</v>
      </c>
      <c r="C119" s="1797">
        <f ca="1">SUM($J$4:J119)</f>
        <v>0</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hidden="1">
      <c r="B120" s="1381" t="s">
        <v>5653</v>
      </c>
      <c r="C120" s="1797">
        <f ca="1">SUM($J$4:J120)</f>
        <v>0</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hidden="1">
      <c r="B121" s="1381" t="s">
        <v>5656</v>
      </c>
      <c r="C121" s="1797">
        <f ca="1">SUM($J$4:J121)</f>
        <v>0</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hidden="1">
      <c r="B122" s="1381" t="s">
        <v>6445</v>
      </c>
      <c r="C122" s="1797">
        <f ca="1">SUM($J$4:J122)</f>
        <v>0</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hidden="1">
      <c r="B123" s="1381" t="s">
        <v>6406</v>
      </c>
      <c r="C123" s="1797">
        <f ca="1">SUM($J$4:J123)</f>
        <v>0</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hidden="1">
      <c r="B124" s="1381" t="s">
        <v>6408</v>
      </c>
      <c r="C124" s="1797">
        <f ca="1">SUM($J$4:J124)</f>
        <v>0</v>
      </c>
      <c r="D124" s="1320" t="e">
        <f t="shared" si="23"/>
        <v>#N/A</v>
      </c>
      <c r="E124" s="1322" t="e">
        <f t="shared" si="24"/>
        <v>#N/A</v>
      </c>
      <c r="F124" s="1322">
        <f t="shared" ca="1" si="25"/>
        <v>0</v>
      </c>
      <c r="G124" s="1322">
        <f t="shared" ca="1" si="26"/>
        <v>0</v>
      </c>
    </row>
    <row r="125" spans="2:10">
      <c r="B125" s="1381"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4"/>
  <sheetViews>
    <sheetView workbookViewId="0">
      <selection activeCell="K13" sqref="K13"/>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0" t="s">
        <v>1708</v>
      </c>
      <c r="D3" s="1340" t="s">
        <v>4475</v>
      </c>
      <c r="E3" s="3261" t="s">
        <v>4204</v>
      </c>
      <c r="F3" s="3262" t="s">
        <v>4477</v>
      </c>
      <c r="G3" s="3262"/>
      <c r="H3" s="3263" t="s">
        <v>4168</v>
      </c>
      <c r="I3" s="1332" t="s">
        <v>512</v>
      </c>
    </row>
    <row r="4" spans="1:11">
      <c r="C4" s="3260"/>
      <c r="D4" s="1341" t="s">
        <v>4476</v>
      </c>
      <c r="E4" s="3261"/>
      <c r="F4" s="1339" t="s">
        <v>4205</v>
      </c>
      <c r="G4" s="1339" t="s">
        <v>4169</v>
      </c>
      <c r="H4" s="3264"/>
      <c r="I4" s="1211">
        <f>IF(OR(E4&gt;0,F4&gt;0),1,"")</f>
        <v>1</v>
      </c>
      <c r="J4" s="893" t="s">
        <v>4601</v>
      </c>
      <c r="K4" s="1211" t="s">
        <v>4602</v>
      </c>
    </row>
    <row r="5" spans="1:11" ht="52.5" customHeight="1">
      <c r="A5" s="1879" t="s">
        <v>1239</v>
      </c>
      <c r="B5" s="1211" t="s">
        <v>6528</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6552</v>
      </c>
    </row>
    <row r="6" spans="1:11" ht="58.2" customHeight="1">
      <c r="A6" s="1879" t="s">
        <v>88</v>
      </c>
      <c r="B6" s="1211" t="s">
        <v>6529</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6552</v>
      </c>
      <c r="K6" s="1753" t="s">
        <v>6553</v>
      </c>
    </row>
    <row r="7" spans="1:11" ht="50.4">
      <c r="A7" s="1879" t="s">
        <v>88</v>
      </c>
      <c r="B7" s="1211" t="s">
        <v>6424</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20"/>
    </sheetView>
  </sheetViews>
  <sheetFormatPr defaultColWidth="8.90625" defaultRowHeight="16.8"/>
  <cols>
    <col min="1" max="1" width="8.90625" style="1610"/>
    <col min="2" max="2" width="10.1796875" style="1610" bestFit="1" customWidth="1"/>
    <col min="3" max="3" width="6.1796875" style="1610" customWidth="1"/>
    <col min="4" max="4" width="29.54296875" style="1363" customWidth="1"/>
    <col min="5" max="7" width="8.08984375" style="949" customWidth="1"/>
    <col min="8" max="8" width="9.08984375" style="1610" customWidth="1"/>
    <col min="9" max="9" width="5.81640625" style="1610" customWidth="1"/>
    <col min="10" max="16384" width="8.90625" style="1610"/>
  </cols>
  <sheetData>
    <row r="1" spans="1:10" ht="37.5" customHeight="1">
      <c r="A1" s="1610" t="s">
        <v>512</v>
      </c>
      <c r="C1" s="1606" t="s">
        <v>1708</v>
      </c>
      <c r="D1" s="1607" t="s">
        <v>4560</v>
      </c>
      <c r="E1" s="1607" t="s">
        <v>4201</v>
      </c>
      <c r="F1" s="1607" t="s">
        <v>4897</v>
      </c>
      <c r="G1" s="1607" t="s">
        <v>4169</v>
      </c>
      <c r="H1" s="1606" t="s">
        <v>4168</v>
      </c>
      <c r="I1" s="1610" t="s">
        <v>4561</v>
      </c>
    </row>
    <row r="2" spans="1:10" ht="25.2" customHeight="1">
      <c r="A2" s="1610" t="s">
        <v>512</v>
      </c>
      <c r="B2" s="1608" t="e">
        <f>'NT-VT'!A6</f>
        <v>#N/A</v>
      </c>
      <c r="C2" s="1611">
        <f>SUM($I$2:I2)</f>
        <v>1</v>
      </c>
      <c r="D2" s="2047" t="e">
        <f t="shared" ref="D2:D22" si="0">VLOOKUP(B2,DonGia,3,0)</f>
        <v>#N/A</v>
      </c>
      <c r="E2" s="1609">
        <f>'NT-VT'!D6</f>
        <v>0</v>
      </c>
      <c r="F2" s="1609">
        <f t="shared" ref="F2:F24" ca="1" si="1">SUMIF(KhoiLuong,B2,DuToan)</f>
        <v>0</v>
      </c>
      <c r="G2" s="1609">
        <f t="shared" ref="G2:G24" ca="1" si="2">SUMIF(KhoiLuong,B2,ThiCong)</f>
        <v>0</v>
      </c>
      <c r="H2" s="1604"/>
      <c r="I2" s="1610">
        <f t="shared" ref="I2:I20" si="3">IF(A2="x",1,"")</f>
        <v>1</v>
      </c>
    </row>
    <row r="3" spans="1:10" ht="39" customHeight="1">
      <c r="A3" s="1610" t="s">
        <v>512</v>
      </c>
      <c r="B3" s="1608" t="e">
        <f>'NT-VT'!A7</f>
        <v>#N/A</v>
      </c>
      <c r="C3" s="1611">
        <f>SUM($I$2:I3)</f>
        <v>2</v>
      </c>
      <c r="D3" s="2047" t="e">
        <f t="shared" si="0"/>
        <v>#N/A</v>
      </c>
      <c r="E3" s="1609">
        <f>'NT-VT'!D7</f>
        <v>0</v>
      </c>
      <c r="F3" s="1609">
        <f t="shared" ca="1" si="1"/>
        <v>0</v>
      </c>
      <c r="G3" s="1609">
        <f t="shared" ca="1" si="2"/>
        <v>0</v>
      </c>
      <c r="H3" s="1604"/>
      <c r="I3" s="1610">
        <f t="shared" si="3"/>
        <v>1</v>
      </c>
    </row>
    <row r="4" spans="1:10" ht="25.2" customHeight="1">
      <c r="A4" s="1610" t="s">
        <v>512</v>
      </c>
      <c r="B4" s="1608" t="e">
        <f>'NT-VT'!A8</f>
        <v>#N/A</v>
      </c>
      <c r="C4" s="1611">
        <f>SUM($I$2:I4)</f>
        <v>3</v>
      </c>
      <c r="D4" s="2047" t="e">
        <f t="shared" si="0"/>
        <v>#N/A</v>
      </c>
      <c r="E4" s="1609">
        <f>'NT-VT'!D8</f>
        <v>0</v>
      </c>
      <c r="F4" s="1609">
        <f t="shared" ca="1" si="1"/>
        <v>0</v>
      </c>
      <c r="G4" s="1609">
        <f t="shared" ca="1" si="2"/>
        <v>0</v>
      </c>
      <c r="H4" s="1604"/>
      <c r="I4" s="1610">
        <f t="shared" si="3"/>
        <v>1</v>
      </c>
    </row>
    <row r="5" spans="1:10" ht="21.75" customHeight="1">
      <c r="A5" s="1610" t="s">
        <v>512</v>
      </c>
      <c r="B5" s="1608" t="e">
        <f>'NT-VT'!A9</f>
        <v>#N/A</v>
      </c>
      <c r="C5" s="1611">
        <f>SUM($I$2:I5)</f>
        <v>4</v>
      </c>
      <c r="D5" s="2047" t="e">
        <f t="shared" si="0"/>
        <v>#N/A</v>
      </c>
      <c r="E5" s="1609">
        <f>'NT-VT'!D9</f>
        <v>0</v>
      </c>
      <c r="F5" s="1609">
        <f t="shared" ca="1" si="1"/>
        <v>0</v>
      </c>
      <c r="G5" s="1609">
        <f t="shared" ca="1" si="2"/>
        <v>0</v>
      </c>
      <c r="H5" s="1604"/>
      <c r="I5" s="1610">
        <f t="shared" si="3"/>
        <v>1</v>
      </c>
    </row>
    <row r="6" spans="1:10" ht="21.75" hidden="1" customHeight="1">
      <c r="B6" s="1608" t="e">
        <f>'NT-VT'!A10</f>
        <v>#N/A</v>
      </c>
      <c r="C6" s="1611">
        <f>SUM($I$2:I6)</f>
        <v>4</v>
      </c>
      <c r="D6" s="2047" t="e">
        <f t="shared" si="0"/>
        <v>#N/A</v>
      </c>
      <c r="E6" s="1609">
        <f>'NT-VT'!D11</f>
        <v>0</v>
      </c>
      <c r="F6" s="1609">
        <f t="shared" ca="1" si="1"/>
        <v>0</v>
      </c>
      <c r="G6" s="1609">
        <f t="shared" ca="1" si="2"/>
        <v>0</v>
      </c>
      <c r="H6" s="1604"/>
      <c r="I6" s="1610" t="str">
        <f t="shared" si="3"/>
        <v/>
      </c>
    </row>
    <row r="7" spans="1:10" ht="25.2" customHeight="1">
      <c r="A7" s="1610" t="s">
        <v>512</v>
      </c>
      <c r="B7" s="1608" t="e">
        <f>'NT-VT'!A11</f>
        <v>#N/A</v>
      </c>
      <c r="C7" s="1611">
        <f>SUM($I$2:I7)</f>
        <v>5</v>
      </c>
      <c r="D7" s="2047" t="e">
        <f t="shared" si="0"/>
        <v>#N/A</v>
      </c>
      <c r="E7" s="1609">
        <f>'NT-VT'!D12</f>
        <v>0</v>
      </c>
      <c r="F7" s="1609">
        <f t="shared" ca="1" si="1"/>
        <v>0</v>
      </c>
      <c r="G7" s="1609">
        <f t="shared" ca="1" si="2"/>
        <v>0</v>
      </c>
      <c r="H7" s="1604"/>
      <c r="I7" s="1610">
        <f t="shared" si="3"/>
        <v>1</v>
      </c>
    </row>
    <row r="8" spans="1:10" ht="25.2" customHeight="1">
      <c r="A8" s="1610" t="s">
        <v>512</v>
      </c>
      <c r="B8" s="1608" t="e">
        <f>'NT-VT'!A12</f>
        <v>#N/A</v>
      </c>
      <c r="C8" s="1611">
        <f>SUM($I$2:I8)</f>
        <v>6</v>
      </c>
      <c r="D8" s="2047" t="e">
        <f t="shared" si="0"/>
        <v>#N/A</v>
      </c>
      <c r="E8" s="1609">
        <f>'NT-VT'!D13</f>
        <v>0</v>
      </c>
      <c r="F8" s="1609">
        <f t="shared" ca="1" si="1"/>
        <v>0</v>
      </c>
      <c r="G8" s="1609">
        <f t="shared" ca="1" si="2"/>
        <v>0</v>
      </c>
      <c r="H8" s="1604"/>
      <c r="I8" s="1610">
        <f t="shared" si="3"/>
        <v>1</v>
      </c>
    </row>
    <row r="9" spans="1:10" ht="25.2" customHeight="1">
      <c r="A9" s="1610" t="s">
        <v>512</v>
      </c>
      <c r="B9" s="1608" t="e">
        <f>'NT-VT'!A13</f>
        <v>#N/A</v>
      </c>
      <c r="C9" s="1611">
        <f>SUM($I$2:I9)</f>
        <v>7</v>
      </c>
      <c r="D9" s="2047" t="e">
        <f t="shared" si="0"/>
        <v>#N/A</v>
      </c>
      <c r="E9" s="1609">
        <f>'NT-VT'!D24</f>
        <v>0</v>
      </c>
      <c r="F9" s="1609">
        <f t="shared" ca="1" si="1"/>
        <v>0</v>
      </c>
      <c r="G9" s="1609">
        <f t="shared" ca="1" si="2"/>
        <v>0</v>
      </c>
      <c r="H9" s="1604"/>
      <c r="I9" s="1610">
        <f t="shared" si="3"/>
        <v>1</v>
      </c>
    </row>
    <row r="10" spans="1:10" ht="25.2" hidden="1" customHeight="1">
      <c r="B10" s="1608" t="e">
        <f>'NT-VT'!A14</f>
        <v>#N/A</v>
      </c>
      <c r="C10" s="1611">
        <f>SUM($I$2:I10)</f>
        <v>7</v>
      </c>
      <c r="D10" s="2047" t="e">
        <f t="shared" si="0"/>
        <v>#N/A</v>
      </c>
      <c r="E10" s="1609">
        <f>'NT-VT'!D10</f>
        <v>0</v>
      </c>
      <c r="F10" s="1609">
        <f t="shared" ca="1" si="1"/>
        <v>0</v>
      </c>
      <c r="G10" s="1609">
        <f t="shared" ca="1" si="2"/>
        <v>0</v>
      </c>
      <c r="H10" s="1604"/>
      <c r="I10" s="1610" t="str">
        <f t="shared" si="3"/>
        <v/>
      </c>
    </row>
    <row r="11" spans="1:10" ht="25.2" hidden="1" customHeight="1">
      <c r="B11" s="1608" t="e">
        <f>'NT-VT'!A15</f>
        <v>#N/A</v>
      </c>
      <c r="C11" s="1611">
        <f>SUM($I$2:I11)</f>
        <v>7</v>
      </c>
      <c r="D11" s="2047" t="e">
        <f t="shared" si="0"/>
        <v>#N/A</v>
      </c>
      <c r="E11" s="1609">
        <f>'NT-VT'!D14</f>
        <v>0</v>
      </c>
      <c r="F11" s="1609">
        <f t="shared" ca="1" si="1"/>
        <v>0</v>
      </c>
      <c r="G11" s="1609">
        <f t="shared" ca="1" si="2"/>
        <v>0</v>
      </c>
      <c r="H11" s="1604"/>
      <c r="I11" s="1610" t="str">
        <f t="shared" si="3"/>
        <v/>
      </c>
    </row>
    <row r="12" spans="1:10" hidden="1">
      <c r="B12" s="1608" t="e">
        <f>'NT-VT'!A16</f>
        <v>#N/A</v>
      </c>
      <c r="C12" s="1611">
        <f>SUM($I$2:I12)</f>
        <v>7</v>
      </c>
      <c r="D12" s="2047" t="e">
        <f t="shared" si="0"/>
        <v>#N/A</v>
      </c>
      <c r="E12" s="1609">
        <f>'NT-VT'!D15</f>
        <v>0</v>
      </c>
      <c r="F12" s="1609">
        <f t="shared" ca="1" si="1"/>
        <v>0</v>
      </c>
      <c r="G12" s="1609">
        <f t="shared" ca="1" si="2"/>
        <v>0</v>
      </c>
      <c r="H12" s="1604"/>
      <c r="I12" s="1610" t="str">
        <f t="shared" si="3"/>
        <v/>
      </c>
    </row>
    <row r="13" spans="1:10" hidden="1">
      <c r="B13" s="1608" t="e">
        <f>'NT-VT'!A17</f>
        <v>#N/A</v>
      </c>
      <c r="C13" s="1611">
        <f>SUM($I$2:I13)</f>
        <v>7</v>
      </c>
      <c r="D13" s="2047" t="e">
        <f t="shared" si="0"/>
        <v>#N/A</v>
      </c>
      <c r="E13" s="1609">
        <f>'NT-VT'!D16</f>
        <v>0</v>
      </c>
      <c r="F13" s="1609">
        <f t="shared" ca="1" si="1"/>
        <v>0</v>
      </c>
      <c r="G13" s="1609">
        <f t="shared" ca="1" si="2"/>
        <v>0</v>
      </c>
      <c r="H13" s="1604"/>
      <c r="I13" s="1610" t="str">
        <f t="shared" si="3"/>
        <v/>
      </c>
      <c r="J13" s="1324"/>
    </row>
    <row r="14" spans="1:10" hidden="1">
      <c r="B14" s="1608" t="e">
        <f>'NT-VT'!A18</f>
        <v>#N/A</v>
      </c>
      <c r="C14" s="1611">
        <f>SUM($I$2:I14)</f>
        <v>7</v>
      </c>
      <c r="D14" s="2047" t="e">
        <f t="shared" si="0"/>
        <v>#N/A</v>
      </c>
      <c r="E14" s="1609">
        <f>'NT-VT'!D17</f>
        <v>0</v>
      </c>
      <c r="F14" s="1609">
        <f t="shared" ca="1" si="1"/>
        <v>0</v>
      </c>
      <c r="G14" s="1609">
        <f t="shared" ca="1" si="2"/>
        <v>0</v>
      </c>
      <c r="H14" s="1604"/>
      <c r="I14" s="1610" t="str">
        <f t="shared" si="3"/>
        <v/>
      </c>
    </row>
    <row r="15" spans="1:10" hidden="1">
      <c r="B15" s="1608" t="e">
        <f>'NT-VT'!A19</f>
        <v>#N/A</v>
      </c>
      <c r="C15" s="1611">
        <f>SUM($I$2:I15)</f>
        <v>7</v>
      </c>
      <c r="D15" s="2047" t="e">
        <f t="shared" si="0"/>
        <v>#N/A</v>
      </c>
      <c r="E15" s="1609">
        <f>'NT-VT'!D18</f>
        <v>0</v>
      </c>
      <c r="F15" s="1609">
        <f t="shared" ca="1" si="1"/>
        <v>0</v>
      </c>
      <c r="G15" s="1609">
        <f t="shared" ca="1" si="2"/>
        <v>0</v>
      </c>
      <c r="H15" s="1604"/>
      <c r="I15" s="1610" t="str">
        <f t="shared" si="3"/>
        <v/>
      </c>
    </row>
    <row r="16" spans="1:10" hidden="1">
      <c r="B16" s="1608" t="e">
        <f>'NT-VT'!A20</f>
        <v>#N/A</v>
      </c>
      <c r="C16" s="1611">
        <f>SUM($I$2:I16)</f>
        <v>7</v>
      </c>
      <c r="D16" s="2047" t="e">
        <f t="shared" si="0"/>
        <v>#N/A</v>
      </c>
      <c r="E16" s="1609">
        <f>'NT-VT'!D19</f>
        <v>0</v>
      </c>
      <c r="F16" s="1609">
        <f t="shared" ca="1" si="1"/>
        <v>0</v>
      </c>
      <c r="G16" s="1609">
        <f t="shared" ca="1" si="2"/>
        <v>0</v>
      </c>
      <c r="H16" s="1604"/>
      <c r="I16" s="1610" t="str">
        <f t="shared" si="3"/>
        <v/>
      </c>
    </row>
    <row r="17" spans="1:10" hidden="1">
      <c r="B17" s="1608" t="e">
        <f>'NT-VT'!A21</f>
        <v>#N/A</v>
      </c>
      <c r="C17" s="1611">
        <f>SUM($I$2:I17)</f>
        <v>7</v>
      </c>
      <c r="D17" s="2047" t="e">
        <f t="shared" si="0"/>
        <v>#N/A</v>
      </c>
      <c r="E17" s="1609">
        <f>'NT-VT'!D20</f>
        <v>0</v>
      </c>
      <c r="F17" s="1609">
        <f t="shared" ca="1" si="1"/>
        <v>0</v>
      </c>
      <c r="G17" s="1609">
        <f t="shared" ca="1" si="2"/>
        <v>0</v>
      </c>
      <c r="H17" s="1604"/>
      <c r="I17" s="1610" t="str">
        <f t="shared" si="3"/>
        <v/>
      </c>
    </row>
    <row r="18" spans="1:10" hidden="1">
      <c r="B18" s="1608" t="e">
        <f>'NT-VT'!A22</f>
        <v>#N/A</v>
      </c>
      <c r="C18" s="1611">
        <f>SUM($I$2:I18)</f>
        <v>7</v>
      </c>
      <c r="D18" s="2047" t="e">
        <f t="shared" si="0"/>
        <v>#N/A</v>
      </c>
      <c r="E18" s="1609">
        <f>'NT-VT'!D21</f>
        <v>0</v>
      </c>
      <c r="F18" s="1609">
        <f t="shared" ca="1" si="1"/>
        <v>0</v>
      </c>
      <c r="G18" s="1609">
        <f t="shared" ca="1" si="2"/>
        <v>0</v>
      </c>
      <c r="H18" s="1604"/>
      <c r="I18" s="1610" t="str">
        <f t="shared" si="3"/>
        <v/>
      </c>
      <c r="J18" s="1324"/>
    </row>
    <row r="19" spans="1:10" hidden="1">
      <c r="B19" s="1608" t="e">
        <f>'NT-VT'!A23</f>
        <v>#N/A</v>
      </c>
      <c r="C19" s="1611">
        <f>SUM($I$2:I19)</f>
        <v>7</v>
      </c>
      <c r="D19" s="2047" t="e">
        <f t="shared" si="0"/>
        <v>#N/A</v>
      </c>
      <c r="E19" s="1609">
        <f>'NT-VT'!D22</f>
        <v>0</v>
      </c>
      <c r="F19" s="1609">
        <f t="shared" ca="1" si="1"/>
        <v>0</v>
      </c>
      <c r="G19" s="1609">
        <f t="shared" ca="1" si="2"/>
        <v>0</v>
      </c>
      <c r="H19" s="1604"/>
      <c r="I19" s="1610" t="str">
        <f t="shared" si="3"/>
        <v/>
      </c>
    </row>
    <row r="20" spans="1:10">
      <c r="A20" s="1610" t="s">
        <v>512</v>
      </c>
      <c r="B20" s="1608" t="e">
        <f>'NT-VT'!A24</f>
        <v>#N/A</v>
      </c>
      <c r="C20" s="1611">
        <f>SUM($I$2:I20)</f>
        <v>8</v>
      </c>
      <c r="D20" s="2047" t="e">
        <f t="shared" si="0"/>
        <v>#N/A</v>
      </c>
      <c r="E20" s="1609">
        <f>'NT-VT'!D23</f>
        <v>0</v>
      </c>
      <c r="F20" s="1609">
        <f t="shared" ca="1" si="1"/>
        <v>0</v>
      </c>
      <c r="G20" s="1609">
        <f t="shared" ca="1" si="2"/>
        <v>0</v>
      </c>
      <c r="H20" s="1604"/>
      <c r="I20" s="1610">
        <f t="shared" si="3"/>
        <v>1</v>
      </c>
    </row>
    <row r="21" spans="1:10" ht="25.2" hidden="1" customHeight="1">
      <c r="B21" s="1608" t="e">
        <f>'NT-VT'!A25</f>
        <v>#N/A</v>
      </c>
      <c r="C21" s="1611">
        <f>SUM($I$2:I21)</f>
        <v>8</v>
      </c>
      <c r="D21" s="2047" t="e">
        <f t="shared" si="0"/>
        <v>#N/A</v>
      </c>
      <c r="E21" s="1609">
        <f>'NT-VT'!D25</f>
        <v>0</v>
      </c>
      <c r="F21" s="1609">
        <f t="shared" ca="1" si="1"/>
        <v>0</v>
      </c>
      <c r="G21" s="1609">
        <f t="shared" ca="1" si="2"/>
        <v>0</v>
      </c>
      <c r="H21" s="1343"/>
      <c r="I21" s="1610" t="str">
        <f t="shared" ref="I21:I26" si="4">IF(A21="x",1,"")</f>
        <v/>
      </c>
    </row>
    <row r="22" spans="1:10" ht="25.2" hidden="1" customHeight="1">
      <c r="B22" s="1608" t="e">
        <f>'NT-VT'!A26</f>
        <v>#N/A</v>
      </c>
      <c r="C22" s="1611">
        <f>SUM($I$2:I22)</f>
        <v>8</v>
      </c>
      <c r="D22" s="2047" t="e">
        <f t="shared" si="0"/>
        <v>#N/A</v>
      </c>
      <c r="E22" s="1609">
        <f>'NT-VT'!D26</f>
        <v>0</v>
      </c>
      <c r="F22" s="1609">
        <f t="shared" ca="1" si="1"/>
        <v>0</v>
      </c>
      <c r="G22" s="1609">
        <f t="shared" ca="1" si="2"/>
        <v>0</v>
      </c>
      <c r="H22" s="1343"/>
      <c r="I22" s="1610" t="str">
        <f t="shared" si="4"/>
        <v/>
      </c>
      <c r="J22" s="1324"/>
    </row>
    <row r="23" spans="1:10" hidden="1">
      <c r="B23" s="1608" t="e">
        <f>'NT-VT'!A27</f>
        <v>#N/A</v>
      </c>
      <c r="C23" s="1611">
        <f>SUM($I$2:I23)</f>
        <v>8</v>
      </c>
      <c r="D23" s="2047" t="e">
        <f>VLOOKUP(B23,KhoiLuong,5,0)</f>
        <v>#N/A</v>
      </c>
      <c r="E23" s="1609">
        <f>'NT-VT'!D27</f>
        <v>0</v>
      </c>
      <c r="F23" s="1609">
        <f t="shared" ca="1" si="1"/>
        <v>0</v>
      </c>
      <c r="G23" s="1609">
        <f t="shared" ca="1" si="2"/>
        <v>0</v>
      </c>
      <c r="H23" s="1343"/>
      <c r="I23" s="1610" t="str">
        <f t="shared" si="4"/>
        <v/>
      </c>
      <c r="J23" s="1484"/>
    </row>
    <row r="24" spans="1:10" hidden="1">
      <c r="B24" s="1608" t="e">
        <f>'NT-VT'!A28</f>
        <v>#N/A</v>
      </c>
      <c r="C24" s="1611">
        <f>SUM($I$2:I24)</f>
        <v>8</v>
      </c>
      <c r="D24" s="2047" t="e">
        <f>VLOOKUP(B24,DonGia,3,0)</f>
        <v>#N/A</v>
      </c>
      <c r="E24" s="1609">
        <f>'NT-VT'!D28</f>
        <v>0</v>
      </c>
      <c r="F24" s="1609">
        <f t="shared" ca="1" si="1"/>
        <v>0</v>
      </c>
      <c r="G24" s="1609">
        <f t="shared" ca="1" si="2"/>
        <v>0</v>
      </c>
      <c r="H24" s="1343"/>
      <c r="I24" s="1610" t="str">
        <f t="shared" si="4"/>
        <v/>
      </c>
      <c r="J24" s="1484"/>
    </row>
    <row r="25" spans="1:10" ht="33.6"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xr:uid="{00000000-0009-0000-0000-000022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1"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3:K67"/>
  <sheetViews>
    <sheetView topLeftCell="C13" workbookViewId="0">
      <selection activeCell="D19" sqref="D19:D46"/>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6"/>
    <col min="12" max="16384" width="8.90625" style="1325"/>
  </cols>
  <sheetData>
    <row r="3" spans="2:11">
      <c r="G3" s="1325" t="s">
        <v>1956</v>
      </c>
    </row>
    <row r="4" spans="2:11">
      <c r="D4" s="3265" t="str">
        <f>"- Tiếp địa TBA tại vị trí trụ số:"&amp;F4&amp;"."</f>
        <v>- Tiếp địa TBA tại vị trí trụ số:015/002.</v>
      </c>
      <c r="E4" s="3265"/>
      <c r="F4" s="1325" t="s">
        <v>4559</v>
      </c>
    </row>
    <row r="5" spans="2:11">
      <c r="D5" s="3265" t="str">
        <f>"- Tiếp địa lặp lại đường dây trung thế tại vị trí trụ số: "&amp;F5&amp;"."</f>
        <v>- Tiếp địa lặp lại đường dây trung thế tại vị trí trụ số: 015.</v>
      </c>
      <c r="E5" s="3265"/>
      <c r="F5" s="1603" t="s">
        <v>4553</v>
      </c>
    </row>
    <row r="6" spans="2:11">
      <c r="D6" s="3265" t="str">
        <f>"- Tiếp địa lặp lại đường dây trung thế tại vị trí trụ số: "&amp;F6&amp;"."</f>
        <v>- Tiếp địa lặp lại đường dây trung thế tại vị trí trụ số: .</v>
      </c>
      <c r="E6" s="3265"/>
      <c r="G6" s="1325" t="s">
        <v>512</v>
      </c>
    </row>
    <row r="8" spans="2:11" ht="36.6" customHeight="1">
      <c r="C8" s="1987" t="s">
        <v>1708</v>
      </c>
      <c r="D8" s="1987" t="s">
        <v>4200</v>
      </c>
      <c r="E8" s="1798" t="s">
        <v>4202</v>
      </c>
      <c r="F8" s="1798" t="s">
        <v>4203</v>
      </c>
      <c r="G8" s="1332" t="s">
        <v>1956</v>
      </c>
    </row>
    <row r="9" spans="2:11" ht="24.9"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 customHeight="1">
      <c r="C10" s="1996"/>
      <c r="D10" s="1997" t="str">
        <f>" - "&amp;H10&amp;": "&amp;ROUND(J10,1)&amp;" "&amp;I10</f>
        <v xml:space="preserve"> - : 0 </v>
      </c>
      <c r="E10" s="1992"/>
      <c r="F10" s="2035"/>
      <c r="G10" s="1325" t="str">
        <f t="shared" ref="G10:G16" si="0">IF(K10&gt;0,1,"")</f>
        <v/>
      </c>
      <c r="H10" s="1768"/>
      <c r="I10" s="1336"/>
      <c r="J10" s="2937"/>
      <c r="K10" s="2937"/>
    </row>
    <row r="11" spans="2:11" ht="24.9"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 customHeight="1">
      <c r="C12" s="1996"/>
      <c r="D12" s="1997" t="str">
        <f t="shared" si="1"/>
        <v xml:space="preserve"> - : 0 </v>
      </c>
      <c r="E12" s="1992"/>
      <c r="F12" s="2035"/>
      <c r="G12" s="1325" t="str">
        <f t="shared" si="0"/>
        <v/>
      </c>
      <c r="H12" s="1768"/>
      <c r="I12" s="1336"/>
      <c r="J12" s="2937"/>
      <c r="K12" s="2937"/>
    </row>
    <row r="13" spans="2:11" ht="24.9" customHeight="1">
      <c r="C13" s="1996"/>
      <c r="D13" s="1997" t="str">
        <f t="shared" si="1"/>
        <v xml:space="preserve"> - : 0 </v>
      </c>
      <c r="E13" s="1933"/>
      <c r="F13" s="1880"/>
      <c r="G13" s="1325" t="str">
        <f t="shared" si="0"/>
        <v/>
      </c>
      <c r="H13" s="1768"/>
      <c r="I13" s="1336"/>
      <c r="J13" s="2937"/>
      <c r="K13" s="2937"/>
    </row>
    <row r="14" spans="2:11" ht="24.9" customHeight="1">
      <c r="C14" s="1996"/>
      <c r="D14" s="1997" t="str">
        <f t="shared" si="1"/>
        <v xml:space="preserve"> - : 0 </v>
      </c>
      <c r="E14" s="1933"/>
      <c r="F14" s="1880"/>
      <c r="G14" s="1325" t="str">
        <f t="shared" si="0"/>
        <v/>
      </c>
      <c r="H14" s="1768"/>
      <c r="I14" s="1336"/>
      <c r="J14" s="2937"/>
      <c r="K14" s="2937"/>
    </row>
    <row r="15" spans="2:11" ht="24.9" customHeight="1">
      <c r="C15" s="1996"/>
      <c r="D15" s="1997" t="str">
        <f t="shared" si="1"/>
        <v xml:space="preserve"> - : 0 </v>
      </c>
      <c r="E15" s="1933"/>
      <c r="F15" s="1880"/>
      <c r="G15" s="1325" t="str">
        <f t="shared" si="0"/>
        <v/>
      </c>
      <c r="H15" s="1768"/>
      <c r="I15" s="1336"/>
      <c r="J15" s="2937"/>
      <c r="K15" s="2937"/>
    </row>
    <row r="16" spans="2:11" ht="24.9"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4795</v>
      </c>
      <c r="I17" s="1998" t="s">
        <v>2532</v>
      </c>
      <c r="J17" s="2938">
        <v>0.5</v>
      </c>
      <c r="K17" s="2938"/>
    </row>
    <row r="18" spans="2:11" ht="24.9"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 customHeight="1">
      <c r="C27" s="1996"/>
      <c r="D27" s="1997" t="str">
        <f t="shared" si="3"/>
        <v xml:space="preserve">     - : 0 </v>
      </c>
      <c r="E27" s="1933"/>
      <c r="F27" s="1880"/>
      <c r="G27" s="1325" t="str">
        <f t="shared" si="4"/>
        <v/>
      </c>
      <c r="H27" s="1768"/>
      <c r="I27" s="1336"/>
      <c r="J27" s="2937"/>
      <c r="K27" s="2937"/>
    </row>
    <row r="28" spans="2:11" ht="24.9" customHeight="1">
      <c r="C28" s="1996"/>
      <c r="D28" s="1997" t="str">
        <f t="shared" si="3"/>
        <v xml:space="preserve">     - : 0 </v>
      </c>
      <c r="E28" s="1933"/>
      <c r="F28" s="1880"/>
      <c r="G28" s="1325" t="str">
        <f t="shared" si="4"/>
        <v/>
      </c>
      <c r="H28" s="1768"/>
      <c r="I28" s="1336"/>
      <c r="J28" s="2937"/>
      <c r="K28" s="2937"/>
    </row>
    <row r="29" spans="2:11" ht="24.9" customHeight="1">
      <c r="C29" s="1996"/>
      <c r="D29" s="1997" t="str">
        <f t="shared" si="3"/>
        <v xml:space="preserve">     - : 0 </v>
      </c>
      <c r="E29" s="1933"/>
      <c r="F29" s="1880"/>
      <c r="G29" s="1325" t="str">
        <f t="shared" si="2"/>
        <v/>
      </c>
      <c r="H29" s="1768"/>
      <c r="I29" s="1336"/>
      <c r="J29" s="2937"/>
      <c r="K29" s="2937"/>
    </row>
    <row r="30" spans="2:11" ht="24.9" customHeight="1">
      <c r="C30" s="1996"/>
      <c r="D30" s="1997" t="str">
        <f t="shared" si="3"/>
        <v xml:space="preserve">     - Khoảng cách cọc cách cọc: 3 mét</v>
      </c>
      <c r="E30" s="1933"/>
      <c r="F30" s="1880"/>
      <c r="G30" s="1325" t="str">
        <f t="shared" si="2"/>
        <v/>
      </c>
      <c r="H30" s="1946" t="s">
        <v>4796</v>
      </c>
      <c r="I30" s="1998" t="s">
        <v>2532</v>
      </c>
      <c r="J30" s="2938">
        <v>3</v>
      </c>
      <c r="K30" s="2937"/>
    </row>
    <row r="31" spans="2:11" ht="24.9" customHeight="1">
      <c r="C31" s="1873"/>
      <c r="D31" s="1997" t="str">
        <f t="shared" si="3"/>
        <v xml:space="preserve">     - Độ chôn sâu đầu cọc đến mặt đất: 0,5 mét</v>
      </c>
      <c r="E31" s="1993"/>
      <c r="F31" s="1934"/>
      <c r="G31" s="1325">
        <f>G18</f>
        <v>1</v>
      </c>
      <c r="H31" s="1946" t="s">
        <v>4795</v>
      </c>
      <c r="I31" s="1998" t="s">
        <v>2532</v>
      </c>
      <c r="J31" s="2938">
        <v>0.5</v>
      </c>
      <c r="K31" s="2938"/>
    </row>
    <row r="32" spans="2:11" ht="24.9" customHeight="1">
      <c r="C32" s="1873"/>
      <c r="D32" s="1997" t="str">
        <f t="shared" si="3"/>
        <v xml:space="preserve">     - : 0 </v>
      </c>
      <c r="E32" s="1992" t="str">
        <f>E18</f>
        <v>x</v>
      </c>
      <c r="F32" s="1923" t="s">
        <v>4186</v>
      </c>
      <c r="G32" s="1325" t="str">
        <f>IF(SUM(G33:G36)&gt;0,1,"")</f>
        <v/>
      </c>
      <c r="H32" s="1769"/>
      <c r="I32" s="1772"/>
      <c r="J32" s="2939"/>
      <c r="K32" s="2939"/>
    </row>
    <row r="33" spans="3:11" ht="24.9" customHeight="1">
      <c r="C33" s="1873"/>
      <c r="D33" s="1997" t="str">
        <f t="shared" si="3"/>
        <v xml:space="preserve">     - : 0 </v>
      </c>
      <c r="E33" s="1993"/>
      <c r="F33" s="1934"/>
      <c r="G33" s="1325" t="str">
        <f>IF(K33&gt;0,1,"")</f>
        <v/>
      </c>
      <c r="H33" s="1770"/>
      <c r="I33" s="1773"/>
      <c r="J33" s="2937"/>
      <c r="K33" s="2937"/>
    </row>
    <row r="34" spans="3:11" ht="24.9" customHeight="1">
      <c r="C34" s="1873"/>
      <c r="D34" s="1997" t="str">
        <f t="shared" si="3"/>
        <v xml:space="preserve">     - : 0 </v>
      </c>
      <c r="E34" s="1993"/>
      <c r="F34" s="1934"/>
      <c r="G34" s="1325" t="str">
        <f t="shared" ref="G34:G40" si="5">IF(K34&gt;0,1,"")</f>
        <v/>
      </c>
      <c r="H34" s="1770"/>
      <c r="I34" s="1773"/>
      <c r="J34" s="2937"/>
      <c r="K34" s="2937"/>
    </row>
    <row r="35" spans="3:11" ht="24.9" customHeight="1">
      <c r="C35" s="1873"/>
      <c r="D35" s="1997" t="str">
        <f t="shared" si="3"/>
        <v xml:space="preserve">     - : 0 </v>
      </c>
      <c r="E35" s="1993"/>
      <c r="F35" s="1934"/>
      <c r="G35" s="1325" t="str">
        <f t="shared" si="5"/>
        <v/>
      </c>
      <c r="H35" s="1770"/>
      <c r="I35" s="1773"/>
      <c r="J35" s="2937"/>
      <c r="K35" s="2937"/>
    </row>
    <row r="36" spans="3:11" ht="24.9" customHeight="1">
      <c r="C36" s="1873"/>
      <c r="D36" s="1997" t="str">
        <f t="shared" si="3"/>
        <v xml:space="preserve">     - : 0 </v>
      </c>
      <c r="E36" s="1993"/>
      <c r="F36" s="1934"/>
      <c r="G36" s="1325" t="str">
        <f t="shared" si="5"/>
        <v/>
      </c>
      <c r="H36" s="1770"/>
      <c r="I36" s="1773"/>
      <c r="J36" s="2937"/>
      <c r="K36" s="2937"/>
    </row>
    <row r="37" spans="3:11" ht="24.9" customHeight="1">
      <c r="C37" s="1873"/>
      <c r="D37" s="1997" t="str">
        <f t="shared" si="3"/>
        <v xml:space="preserve">     - : 0 </v>
      </c>
      <c r="E37" s="1992"/>
      <c r="F37" s="1923"/>
      <c r="G37" s="1325" t="str">
        <f t="shared" si="5"/>
        <v/>
      </c>
      <c r="H37" s="1770"/>
      <c r="I37" s="1773"/>
      <c r="J37" s="2937"/>
      <c r="K37" s="2937"/>
    </row>
    <row r="38" spans="3:11" ht="24.9" customHeight="1">
      <c r="C38" s="1873"/>
      <c r="D38" s="1997" t="str">
        <f t="shared" si="3"/>
        <v xml:space="preserve">     - : 0 </v>
      </c>
      <c r="E38" s="1992"/>
      <c r="F38" s="1923"/>
      <c r="G38" s="1325" t="str">
        <f t="shared" si="5"/>
        <v/>
      </c>
      <c r="H38" s="1770"/>
      <c r="I38" s="1773"/>
      <c r="J38" s="2937"/>
      <c r="K38" s="2937"/>
    </row>
    <row r="39" spans="3:11" ht="24.9" customHeight="1">
      <c r="C39" s="1873"/>
      <c r="D39" s="1997" t="str">
        <f t="shared" si="3"/>
        <v xml:space="preserve">     - : 0 </v>
      </c>
      <c r="E39" s="1994"/>
      <c r="F39" s="1796"/>
      <c r="G39" s="1325" t="str">
        <f t="shared" si="5"/>
        <v/>
      </c>
      <c r="H39" s="1768"/>
      <c r="I39" s="1336"/>
      <c r="J39" s="2937"/>
      <c r="K39" s="2937"/>
    </row>
    <row r="40" spans="3:11" ht="24.9" customHeight="1">
      <c r="C40" s="1873"/>
      <c r="D40" s="1997" t="str">
        <f t="shared" si="3"/>
        <v xml:space="preserve">     - : 0 </v>
      </c>
      <c r="E40" s="1994"/>
      <c r="F40" s="1796"/>
      <c r="G40" s="1325" t="str">
        <f t="shared" si="5"/>
        <v/>
      </c>
      <c r="H40" s="1768"/>
      <c r="I40" s="1336"/>
      <c r="J40" s="2937"/>
      <c r="K40" s="2937"/>
    </row>
    <row r="41" spans="3:11" ht="24.9" customHeight="1">
      <c r="C41" s="1873"/>
      <c r="D41" s="1997" t="str">
        <f t="shared" si="3"/>
        <v xml:space="preserve">     - : 0 </v>
      </c>
      <c r="E41" s="1994"/>
      <c r="F41" s="1796"/>
      <c r="G41" s="1325" t="str">
        <f>IF(K41&gt;0,1,"")</f>
        <v/>
      </c>
      <c r="H41" s="1768"/>
      <c r="I41" s="1336"/>
      <c r="J41" s="2937"/>
      <c r="K41" s="2937"/>
    </row>
    <row r="42" spans="3:11" ht="24.9" customHeight="1">
      <c r="C42" s="1873"/>
      <c r="D42" s="1997" t="str">
        <f t="shared" si="3"/>
        <v xml:space="preserve">     - : 0 </v>
      </c>
      <c r="E42" s="1994"/>
      <c r="F42" s="1796"/>
      <c r="G42" s="1325" t="str">
        <f>IF(K42&gt;0,1,"")</f>
        <v/>
      </c>
      <c r="H42" s="1768"/>
      <c r="I42" s="1336"/>
      <c r="J42" s="2937"/>
      <c r="K42" s="2937"/>
    </row>
    <row r="43" spans="3:11" ht="24.9" customHeight="1">
      <c r="C43" s="1873"/>
      <c r="D43" s="1997" t="str">
        <f t="shared" si="3"/>
        <v xml:space="preserve">     - : 0 </v>
      </c>
      <c r="E43" s="1994"/>
      <c r="F43" s="1796"/>
      <c r="G43" s="1325" t="str">
        <f>IF(K43&gt;0,1,"")</f>
        <v/>
      </c>
      <c r="H43" s="1768"/>
      <c r="I43" s="1336"/>
      <c r="J43" s="2937"/>
      <c r="K43" s="2937"/>
    </row>
    <row r="44" spans="3:11" ht="24.9" customHeight="1">
      <c r="C44" s="1873"/>
      <c r="D44" s="1997" t="str">
        <f t="shared" si="3"/>
        <v xml:space="preserve">     - : 0 </v>
      </c>
      <c r="E44" s="1994"/>
      <c r="F44" s="1796"/>
      <c r="G44" s="1325" t="str">
        <f>IF(K44&gt;0,1,"")</f>
        <v/>
      </c>
      <c r="H44" s="1768"/>
      <c r="I44" s="1336"/>
      <c r="J44" s="2937"/>
      <c r="K44" s="2937"/>
    </row>
    <row r="45" spans="3:11" ht="24.9" customHeight="1">
      <c r="C45" s="1873"/>
      <c r="D45" s="1997" t="str">
        <f t="shared" si="3"/>
        <v xml:space="preserve">     - Độ chôn sâu đầu cọc đến mặt đất: 0,5 mét</v>
      </c>
      <c r="E45" s="1993"/>
      <c r="F45" s="1934"/>
      <c r="G45" s="1325" t="str">
        <f>G32</f>
        <v/>
      </c>
      <c r="H45" s="1946" t="s">
        <v>4795</v>
      </c>
      <c r="I45" s="1998" t="s">
        <v>2532</v>
      </c>
      <c r="J45" s="2938">
        <v>0.5</v>
      </c>
      <c r="K45" s="2938"/>
    </row>
    <row r="46" spans="3:11" ht="24.9" customHeight="1">
      <c r="C46" s="1873"/>
      <c r="D46" s="1997" t="str">
        <f t="shared" si="3"/>
        <v xml:space="preserve">     - Khoảng cách cọc cách cọc: 3 mét</v>
      </c>
      <c r="E46" s="1993"/>
      <c r="F46" s="1934"/>
      <c r="G46" s="1325" t="str">
        <f>G32</f>
        <v/>
      </c>
      <c r="H46" s="1946" t="s">
        <v>4796</v>
      </c>
      <c r="I46" s="1998" t="s">
        <v>2532</v>
      </c>
      <c r="J46" s="2938">
        <v>3</v>
      </c>
      <c r="K46" s="2938"/>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52" customWidth="1"/>
    <col min="5" max="6" width="3.453125" style="1325" customWidth="1"/>
    <col min="7" max="7" width="5.90625" style="1786" bestFit="1" customWidth="1"/>
    <col min="8" max="8" width="30.81640625" style="2052" customWidth="1"/>
    <col min="9" max="16384" width="8.90625" style="1325"/>
  </cols>
  <sheetData>
    <row r="1" spans="2:12" ht="16.8"/>
    <row r="2" spans="2:12" ht="16.8">
      <c r="F2" s="2005">
        <f>72/88</f>
        <v>0.81818181818181823</v>
      </c>
      <c r="G2" s="2040">
        <f>62/88</f>
        <v>0.70454545454545459</v>
      </c>
    </row>
    <row r="3" spans="2:12" ht="16.8">
      <c r="C3" s="2053"/>
      <c r="D3" s="1997"/>
      <c r="E3" s="2053"/>
      <c r="F3" s="2053"/>
    </row>
    <row r="4" spans="2:12" ht="16.8">
      <c r="C4" s="2053"/>
      <c r="D4" s="1997"/>
      <c r="E4" s="2053"/>
      <c r="F4" s="2053"/>
    </row>
    <row r="5" spans="2:12" ht="16.8">
      <c r="C5" s="2053"/>
      <c r="D5" s="1997"/>
      <c r="E5" s="2053"/>
      <c r="F5" s="2053"/>
    </row>
    <row r="6" spans="2:12" ht="16.8">
      <c r="C6" s="3266" t="s">
        <v>4200</v>
      </c>
      <c r="D6" s="3266"/>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 hidden="1" customHeight="1">
      <c r="C14" s="2054"/>
      <c r="D14" s="2057" t="str">
        <f t="shared" si="2"/>
        <v xml:space="preserve"> - :  .</v>
      </c>
      <c r="E14" s="2001"/>
      <c r="F14" s="2051"/>
      <c r="G14" s="2041" t="str">
        <f t="shared" si="1"/>
        <v/>
      </c>
      <c r="H14" s="2003"/>
      <c r="I14" s="1943"/>
      <c r="J14" s="1943"/>
      <c r="K14" s="1943"/>
      <c r="L14" s="1943"/>
    </row>
    <row r="15" spans="2:12" ht="24.9" hidden="1" customHeight="1">
      <c r="C15" s="2054"/>
      <c r="D15" s="2057" t="str">
        <f t="shared" si="2"/>
        <v xml:space="preserve"> - :  .</v>
      </c>
      <c r="E15" s="2001"/>
      <c r="F15" s="2051"/>
      <c r="G15" s="2041" t="str">
        <f t="shared" si="1"/>
        <v/>
      </c>
    </row>
    <row r="16" spans="2:12" ht="24.9" hidden="1" customHeight="1">
      <c r="C16" s="2054"/>
      <c r="D16" s="2057" t="str">
        <f t="shared" si="2"/>
        <v xml:space="preserve"> - :  .</v>
      </c>
      <c r="E16" s="2001"/>
      <c r="F16" s="2051"/>
      <c r="G16" s="2041" t="str">
        <f t="shared" si="1"/>
        <v/>
      </c>
    </row>
    <row r="17" spans="2:12" ht="24.9" hidden="1" customHeight="1">
      <c r="C17" s="2054"/>
      <c r="D17" s="2057" t="str">
        <f t="shared" si="2"/>
        <v xml:space="preserve"> - :  .</v>
      </c>
      <c r="E17" s="2001"/>
      <c r="F17" s="2051"/>
      <c r="G17" s="2041" t="str">
        <f t="shared" si="1"/>
        <v/>
      </c>
    </row>
    <row r="18" spans="2:12" ht="24.9" hidden="1" customHeight="1">
      <c r="C18" s="2054"/>
      <c r="D18" s="2057"/>
      <c r="E18" s="2001"/>
      <c r="F18" s="2051"/>
      <c r="G18" s="2041" t="str">
        <f t="shared" si="1"/>
        <v/>
      </c>
    </row>
    <row r="19" spans="2:12" ht="24.9" hidden="1" customHeight="1">
      <c r="C19" s="2054"/>
      <c r="D19" s="2057"/>
      <c r="E19" s="2001"/>
      <c r="F19" s="2051"/>
      <c r="G19" s="2041" t="str">
        <f t="shared" si="1"/>
        <v/>
      </c>
    </row>
    <row r="20" spans="2:12" ht="24.9" hidden="1" customHeight="1">
      <c r="B20" s="2059"/>
      <c r="C20" s="2060"/>
      <c r="D20" s="2055" t="s">
        <v>4551</v>
      </c>
      <c r="E20" s="2001"/>
      <c r="F20" s="2002"/>
      <c r="G20" s="2041" t="str">
        <f t="shared" si="1"/>
        <v/>
      </c>
      <c r="H20" s="2061"/>
      <c r="I20" s="2061"/>
      <c r="J20" s="2061"/>
      <c r="K20" s="2061"/>
      <c r="L20" s="2061"/>
    </row>
    <row r="21" spans="2:12" ht="24.9" hidden="1" customHeight="1">
      <c r="B21" s="2059"/>
      <c r="C21" s="2060"/>
      <c r="D21" s="2057" t="str">
        <f t="shared" ref="D21:D34" si="3">" - "&amp;H21&amp;": "&amp;L21&amp;" "&amp;I21&amp;"."</f>
        <v xml:space="preserve"> - :  .</v>
      </c>
      <c r="E21" s="2001"/>
      <c r="F21" s="2002"/>
      <c r="G21" s="2041" t="str">
        <f t="shared" si="1"/>
        <v/>
      </c>
    </row>
    <row r="22" spans="2:12" ht="24.9" hidden="1" customHeight="1">
      <c r="B22" s="2059"/>
      <c r="C22" s="2060"/>
      <c r="D22" s="2057" t="str">
        <f t="shared" si="3"/>
        <v xml:space="preserve"> - :  .</v>
      </c>
      <c r="E22" s="2001"/>
      <c r="F22" s="2002"/>
      <c r="G22" s="2041" t="str">
        <f t="shared" si="1"/>
        <v/>
      </c>
    </row>
    <row r="23" spans="2:12" ht="24.9" hidden="1" customHeight="1">
      <c r="B23" s="2062"/>
      <c r="C23" s="2060"/>
      <c r="D23" s="2057" t="str">
        <f t="shared" si="3"/>
        <v xml:space="preserve"> - :  .</v>
      </c>
      <c r="E23" s="2001"/>
      <c r="F23" s="2002"/>
      <c r="G23" s="2041" t="str">
        <f t="shared" si="1"/>
        <v/>
      </c>
    </row>
    <row r="24" spans="2:12" ht="24.9" hidden="1" customHeight="1">
      <c r="C24" s="2053"/>
      <c r="D24" s="2057" t="str">
        <f t="shared" si="3"/>
        <v xml:space="preserve"> - :  .</v>
      </c>
      <c r="E24" s="2053"/>
      <c r="F24" s="2053"/>
      <c r="G24" s="2041" t="str">
        <f t="shared" si="1"/>
        <v/>
      </c>
    </row>
    <row r="25" spans="2:12" ht="24.9" hidden="1" customHeight="1">
      <c r="C25" s="2053"/>
      <c r="D25" s="2057" t="str">
        <f t="shared" si="3"/>
        <v xml:space="preserve"> - :  .</v>
      </c>
      <c r="E25" s="2053"/>
      <c r="F25" s="2053"/>
      <c r="G25" s="2041" t="str">
        <f t="shared" si="1"/>
        <v/>
      </c>
    </row>
    <row r="26" spans="2:12" ht="24.9" hidden="1" customHeight="1">
      <c r="C26" s="2053"/>
      <c r="D26" s="2057" t="str">
        <f t="shared" si="3"/>
        <v xml:space="preserve"> - :  .</v>
      </c>
      <c r="E26" s="2053"/>
      <c r="F26" s="2053"/>
      <c r="G26" s="2041" t="str">
        <f t="shared" si="1"/>
        <v/>
      </c>
    </row>
    <row r="27" spans="2:12" ht="24.9" hidden="1" customHeight="1">
      <c r="D27" s="2057" t="str">
        <f t="shared" si="3"/>
        <v xml:space="preserve"> - :  .</v>
      </c>
      <c r="G27" s="2041" t="str">
        <f t="shared" si="1"/>
        <v/>
      </c>
    </row>
    <row r="28" spans="2:12" ht="24.9" hidden="1" customHeight="1">
      <c r="D28" s="2057" t="str">
        <f t="shared" si="3"/>
        <v xml:space="preserve"> - :  .</v>
      </c>
      <c r="G28" s="2041" t="str">
        <f t="shared" si="1"/>
        <v/>
      </c>
    </row>
    <row r="29" spans="2:12" ht="24.9" hidden="1" customHeight="1">
      <c r="D29" s="2057" t="str">
        <f t="shared" si="3"/>
        <v xml:space="preserve"> - :  .</v>
      </c>
      <c r="G29" s="2041" t="str">
        <f t="shared" si="1"/>
        <v/>
      </c>
    </row>
    <row r="30" spans="2:12" ht="24.9" hidden="1" customHeight="1">
      <c r="D30" s="2057" t="str">
        <f t="shared" si="3"/>
        <v xml:space="preserve"> - :  .</v>
      </c>
      <c r="G30" s="2041" t="str">
        <f t="shared" si="1"/>
        <v/>
      </c>
    </row>
    <row r="31" spans="2:12" ht="24.9" hidden="1" customHeight="1">
      <c r="D31" s="2057" t="str">
        <f t="shared" si="3"/>
        <v xml:space="preserve"> - :  .</v>
      </c>
      <c r="G31" s="2041" t="str">
        <f t="shared" si="1"/>
        <v/>
      </c>
    </row>
    <row r="32" spans="2:12" ht="24.9" hidden="1" customHeight="1">
      <c r="D32" s="2057" t="str">
        <f t="shared" si="3"/>
        <v xml:space="preserve"> - :  .</v>
      </c>
      <c r="G32" s="2041" t="str">
        <f t="shared" si="1"/>
        <v/>
      </c>
    </row>
    <row r="33" spans="4:7" ht="24.9" hidden="1" customHeight="1">
      <c r="D33" s="2057" t="str">
        <f t="shared" si="3"/>
        <v xml:space="preserve"> - :  .</v>
      </c>
      <c r="G33" s="2041" t="str">
        <f t="shared" si="1"/>
        <v/>
      </c>
    </row>
    <row r="34" spans="4:7" ht="24.9" hidden="1" customHeight="1">
      <c r="D34" s="2057" t="str">
        <f t="shared" si="3"/>
        <v xml:space="preserve"> - :  .</v>
      </c>
      <c r="G34" s="2041" t="str">
        <f t="shared" si="1"/>
        <v/>
      </c>
    </row>
  </sheetData>
  <autoFilter ref="G6:G34" xr:uid="{00000000-0009-0000-0000-000024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4183</v>
      </c>
      <c r="C2" s="1385" t="s">
        <v>4486</v>
      </c>
      <c r="D2" s="1386" t="s">
        <v>1411</v>
      </c>
      <c r="E2" s="1387"/>
      <c r="F2" s="1211" t="s">
        <v>4183</v>
      </c>
    </row>
    <row r="3" spans="2:7">
      <c r="B3" s="1388">
        <v>43874</v>
      </c>
      <c r="C3" s="1389" t="s">
        <v>4484</v>
      </c>
      <c r="D3" s="1390" t="s">
        <v>512</v>
      </c>
      <c r="E3" s="1391"/>
      <c r="F3" s="1364"/>
      <c r="G3" s="1379" t="s">
        <v>4140</v>
      </c>
    </row>
    <row r="4" spans="2:7">
      <c r="B4" s="1388"/>
      <c r="C4" s="1389" t="s">
        <v>4485</v>
      </c>
      <c r="D4" s="1390" t="s">
        <v>512</v>
      </c>
      <c r="E4" s="1391"/>
      <c r="F4" s="1364"/>
      <c r="G4" s="1379" t="s">
        <v>4141</v>
      </c>
    </row>
    <row r="5" spans="2:7">
      <c r="B5" s="1388"/>
      <c r="C5" s="1389" t="s">
        <v>4487</v>
      </c>
      <c r="D5" s="1390" t="s">
        <v>512</v>
      </c>
      <c r="E5" s="1391"/>
      <c r="F5" s="1364"/>
      <c r="G5" s="1379" t="s">
        <v>4142</v>
      </c>
    </row>
    <row r="6" spans="2:7" hidden="1">
      <c r="B6" s="1388"/>
      <c r="C6" s="1392" t="e">
        <f>'2Mong'!E4</f>
        <v>#N/A</v>
      </c>
      <c r="D6" s="1393">
        <f ca="1">'2Mong'!H4</f>
        <v>0</v>
      </c>
      <c r="E6" s="1391"/>
      <c r="F6" s="1364"/>
      <c r="G6" s="1379" t="s">
        <v>4143</v>
      </c>
    </row>
    <row r="7" spans="2:7" hidden="1">
      <c r="B7" s="1388"/>
      <c r="C7" s="1392" t="e">
        <f>'2Mong'!E5</f>
        <v>#N/A</v>
      </c>
      <c r="D7" s="1393">
        <f ca="1">'2Mong'!H5</f>
        <v>0</v>
      </c>
      <c r="E7" s="1391"/>
      <c r="F7" s="1364"/>
      <c r="G7" s="1379" t="s">
        <v>4144</v>
      </c>
    </row>
    <row r="8" spans="2:7" hidden="1">
      <c r="B8" s="1388"/>
      <c r="C8" s="1392" t="e">
        <f>'2Mong'!E6</f>
        <v>#N/A</v>
      </c>
      <c r="D8" s="1393">
        <f ca="1">'2Mong'!H6</f>
        <v>0</v>
      </c>
      <c r="E8" s="1391"/>
      <c r="F8" s="1364">
        <v>42719</v>
      </c>
      <c r="G8" s="1379" t="s">
        <v>4145</v>
      </c>
    </row>
    <row r="9" spans="2:7" hidden="1">
      <c r="B9" s="1388"/>
      <c r="C9" s="1392" t="e">
        <f>'2Mong'!E7</f>
        <v>#N/A</v>
      </c>
      <c r="D9" s="1393">
        <f ca="1">'2Mong'!H7</f>
        <v>0</v>
      </c>
      <c r="E9" s="1391"/>
      <c r="F9" s="1364">
        <v>42713</v>
      </c>
      <c r="G9" s="1379" t="s">
        <v>4146</v>
      </c>
    </row>
    <row r="10" spans="2:7" hidden="1">
      <c r="B10" s="1388"/>
      <c r="C10" s="1392" t="e">
        <f>'2Mong'!E8</f>
        <v>#N/A</v>
      </c>
      <c r="D10" s="1393">
        <f ca="1">'2Mong'!H8</f>
        <v>0</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4520</v>
      </c>
      <c r="D72" s="1390" t="s">
        <v>512</v>
      </c>
      <c r="E72" s="1391"/>
    </row>
    <row r="73" spans="2:7" ht="22.5" customHeight="1">
      <c r="B73" s="1388"/>
      <c r="C73" s="1389" t="s">
        <v>4525</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4489</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4488</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4526</v>
      </c>
      <c r="D123" s="1394" t="e">
        <f ca="1">SUM(D74,D85,D93)</f>
        <v>#REF!</v>
      </c>
      <c r="E123" s="1391"/>
      <c r="G123" s="1374"/>
    </row>
    <row r="124" spans="2:7" ht="32.25" hidden="1" customHeight="1">
      <c r="B124" s="1388">
        <f>B3+2</f>
        <v>43876</v>
      </c>
      <c r="C124" s="1389" t="s">
        <v>4521</v>
      </c>
      <c r="D124" s="1390" t="e">
        <f ca="1">SUM(D125:D181)</f>
        <v>#REF!</v>
      </c>
      <c r="E124" s="1391"/>
    </row>
    <row r="125" spans="2:7">
      <c r="B125" s="1388"/>
      <c r="C125" s="1392" t="e">
        <f>'6PK'!D4</f>
        <v>#N/A</v>
      </c>
      <c r="D125" s="1393">
        <f ca="1">'6PK'!G4</f>
        <v>0</v>
      </c>
      <c r="E125" s="1947" t="e">
        <f>'6PK'!E4</f>
        <v>#N/A</v>
      </c>
    </row>
    <row r="126" spans="2:7" hidden="1">
      <c r="B126" s="1388"/>
      <c r="C126" s="1392" t="e">
        <f>'6PK'!D5</f>
        <v>#N/A</v>
      </c>
      <c r="D126" s="1393">
        <f ca="1">'6PK'!G5</f>
        <v>0</v>
      </c>
      <c r="E126" s="1947" t="e">
        <f>'6PK'!E5</f>
        <v>#N/A</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e">
        <f>'6PK'!D49</f>
        <v>#N/A</v>
      </c>
      <c r="D173" s="1393">
        <f ca="1">'6PK'!G49</f>
        <v>0</v>
      </c>
      <c r="E173" s="1947" t="e">
        <f>'6PK'!E49</f>
        <v>#N/A</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95mm2 + Cáp nhôm lõi thép AC-70/11 dài 0 mét.</v>
      </c>
      <c r="D199" s="1390">
        <f ca="1">'7day'!G5</f>
        <v>0</v>
      </c>
      <c r="E199" s="1391"/>
      <c r="G199" s="1374"/>
    </row>
    <row r="200" spans="2:7" s="1211" customFormat="1" ht="33.6"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6" hidden="1">
      <c r="B203" s="1388"/>
      <c r="C203" s="1389" t="s">
        <v>4522</v>
      </c>
      <c r="D203" s="1390" t="e">
        <f ca="1">D198+D124</f>
        <v>#REF!</v>
      </c>
      <c r="E203" s="1391"/>
    </row>
    <row r="204" spans="2:7" hidden="1">
      <c r="B204" s="1388">
        <f>B198</f>
        <v>43876</v>
      </c>
      <c r="C204" s="1389" t="str">
        <f>"Lắp đặt trạm biến áp"</f>
        <v>Lắp đặt trạm biến áp</v>
      </c>
      <c r="D204" s="1390">
        <f ca="1">'8TB'!F2</f>
        <v>0</v>
      </c>
      <c r="E204" s="1391"/>
    </row>
    <row r="205" spans="2:7" hidden="1">
      <c r="B205" s="1388"/>
      <c r="C205" s="1389" t="e">
        <f ca="1">'8TB'!D2&amp;": "&amp;'8TB'!F2&amp;" "&amp;'8TB'!E2</f>
        <v>#N/A</v>
      </c>
      <c r="D205" s="1390">
        <f ca="1">'8TB'!F3</f>
        <v>0</v>
      </c>
      <c r="E205" s="1395"/>
    </row>
    <row r="206" spans="2:7">
      <c r="B206" s="1388"/>
      <c r="C206" s="1389" t="e">
        <f ca="1">'8TB'!D3&amp;": "&amp;'8TB'!F3&amp;" "&amp;'8TB'!E3</f>
        <v>#N/A</v>
      </c>
      <c r="D206" s="1390">
        <f ca="1">'8TB'!F4</f>
        <v>0</v>
      </c>
      <c r="E206" s="1395"/>
    </row>
    <row r="207" spans="2:7" hidden="1">
      <c r="B207" s="1388"/>
      <c r="C207" s="1389" t="e">
        <f ca="1">'8TB'!D4&amp;": "&amp;'8TB'!F4&amp;" "&amp;'8TB'!E4</f>
        <v>#N/A</v>
      </c>
      <c r="D207" s="1390">
        <f ca="1">'8TB'!F5</f>
        <v>0</v>
      </c>
      <c r="E207" s="1395"/>
    </row>
    <row r="208" spans="2:7">
      <c r="B208" s="1388"/>
      <c r="C208" s="1389" t="e">
        <f ca="1">'8TB'!D5&amp;": "&amp;'8TB'!F5&amp;" "&amp;'8TB'!E5</f>
        <v>#N/A</v>
      </c>
      <c r="D208" s="1390">
        <f ca="1">'8TB'!F6</f>
        <v>0</v>
      </c>
      <c r="E208" s="1395"/>
    </row>
    <row r="209" spans="2:7" hidden="1">
      <c r="B209" s="1388"/>
      <c r="C209" s="1389" t="e">
        <f ca="1">'8TB'!D6&amp;": "&amp;'8TB'!F6&amp;" "&amp;'8TB'!E6</f>
        <v>#N/A</v>
      </c>
      <c r="D209" s="1390">
        <f ca="1">'8TB'!F7</f>
        <v>0</v>
      </c>
      <c r="E209" s="1395"/>
    </row>
    <row r="210" spans="2:7" hidden="1">
      <c r="B210" s="1388"/>
      <c r="C210" s="1389" t="e">
        <f ca="1">'8TB'!D7&amp;": "&amp;'8TB'!F7&amp;" "&amp;'8TB'!E7</f>
        <v>#N/A</v>
      </c>
      <c r="D210" s="1390">
        <f ca="1">'8TB'!F8</f>
        <v>0</v>
      </c>
      <c r="E210" s="1395"/>
    </row>
    <row r="211" spans="2:7" s="1211" customFormat="1">
      <c r="B211" s="1388"/>
      <c r="C211" s="1389" t="e">
        <f ca="1">'8TB'!D8&amp;": "&amp;'8TB'!F8&amp;" "&amp;'8TB'!E8</f>
        <v>#N/A</v>
      </c>
      <c r="D211" s="1390">
        <f ca="1">'8TB'!F9</f>
        <v>0</v>
      </c>
      <c r="E211" s="1395"/>
      <c r="G211" s="1374"/>
    </row>
    <row r="212" spans="2:7" s="1211" customFormat="1" hidden="1">
      <c r="B212" s="1388"/>
      <c r="C212" s="1389" t="e">
        <f ca="1">'8TB'!D9&amp;": "&amp;'8TB'!F9&amp;" "&amp;'8TB'!E9</f>
        <v>#N/A</v>
      </c>
      <c r="D212" s="1390">
        <f ca="1">'8TB'!F10</f>
        <v>0</v>
      </c>
      <c r="E212" s="1395"/>
      <c r="G212" s="1374"/>
    </row>
    <row r="213" spans="2:7" s="1211" customFormat="1" hidden="1">
      <c r="B213" s="1388"/>
      <c r="C213" s="1389" t="e">
        <f ca="1">'8TB'!D10&amp;": "&amp;'8TB'!F10&amp;" "&amp;'8TB'!E10</f>
        <v>#N/A</v>
      </c>
      <c r="D213" s="1390">
        <f ca="1">'8TB'!F11</f>
        <v>0</v>
      </c>
      <c r="E213" s="1395"/>
      <c r="G213" s="1374"/>
    </row>
    <row r="214" spans="2:7" s="1211" customFormat="1" hidden="1">
      <c r="B214" s="1388"/>
      <c r="C214" s="1389" t="e">
        <f ca="1">'8TB'!D11&amp;": "&amp;'8TB'!F11&amp;" "&amp;'8TB'!E11</f>
        <v>#N/A</v>
      </c>
      <c r="D214" s="1390">
        <f ca="1">'8TB'!F12</f>
        <v>0</v>
      </c>
      <c r="E214" s="1395"/>
      <c r="G214" s="1374"/>
    </row>
    <row r="215" spans="2:7" s="1211" customFormat="1" hidden="1">
      <c r="B215" s="1388"/>
      <c r="C215" s="1389" t="e">
        <f ca="1">'8TB'!D12&amp;": "&amp;'8TB'!F12&amp;" "&amp;'8TB'!E12</f>
        <v>#N/A</v>
      </c>
      <c r="D215" s="1390">
        <f ca="1">'8TB'!F13</f>
        <v>0</v>
      </c>
      <c r="E215" s="1395"/>
      <c r="G215" s="1374"/>
    </row>
    <row r="216" spans="2:7" s="1211" customFormat="1" hidden="1">
      <c r="B216" s="1388"/>
      <c r="C216" s="1389" t="e">
        <f ca="1">'8TB'!D13&amp;": "&amp;'8TB'!F13&amp;" "&amp;'8TB'!E13</f>
        <v>#N/A</v>
      </c>
      <c r="D216" s="1390">
        <f ca="1">'8TB'!F14</f>
        <v>0</v>
      </c>
      <c r="E216" s="1395"/>
      <c r="G216" s="1374"/>
    </row>
    <row r="217" spans="2:7" s="1211" customFormat="1" hidden="1">
      <c r="B217" s="1388"/>
      <c r="C217" s="1389" t="e">
        <f ca="1">'8TB'!D14&amp;": "&amp;'8TB'!F14&amp;" "&amp;'8TB'!E14</f>
        <v>#N/A</v>
      </c>
      <c r="D217" s="1390">
        <f ca="1">'8TB'!F15</f>
        <v>0</v>
      </c>
      <c r="E217" s="1395"/>
      <c r="G217" s="1374"/>
    </row>
    <row r="218" spans="2:7" s="1211" customFormat="1">
      <c r="B218" s="1388"/>
      <c r="C218" s="1389" t="e">
        <f ca="1">'8TB'!D15&amp;": "&amp;'8TB'!F15&amp;" "&amp;'8TB'!E15</f>
        <v>#N/A</v>
      </c>
      <c r="D218" s="1390">
        <f ca="1">'8TB'!F16</f>
        <v>0</v>
      </c>
      <c r="E218" s="1395"/>
      <c r="G218" s="1374"/>
    </row>
    <row r="219" spans="2:7" s="1211" customFormat="1">
      <c r="B219" s="1388"/>
      <c r="C219" s="1389" t="e">
        <f ca="1">'8TB'!D16&amp;": "&amp;'8TB'!F16&amp;" "&amp;'8TB'!E16</f>
        <v>#N/A</v>
      </c>
      <c r="D219" s="1390">
        <f ca="1">'8TB'!F17</f>
        <v>0</v>
      </c>
      <c r="E219" s="1395"/>
      <c r="G219" s="1374"/>
    </row>
    <row r="220" spans="2:7" s="1211" customFormat="1">
      <c r="B220" s="1388"/>
      <c r="C220" s="1389" t="e">
        <f ca="1">'8TB'!D17&amp;": "&amp;'8TB'!F17&amp;" "&amp;'8TB'!E17</f>
        <v>#N/A</v>
      </c>
      <c r="D220" s="1390">
        <f ca="1">'8TB'!F18</f>
        <v>0</v>
      </c>
      <c r="E220" s="1395"/>
      <c r="G220" s="1374"/>
    </row>
    <row r="221" spans="2:7" s="1211" customFormat="1" hidden="1">
      <c r="B221" s="1388"/>
      <c r="C221" s="1389" t="e">
        <f ca="1">'8TB'!D18&amp;": "&amp;'8TB'!F18&amp;" "&amp;'8TB'!E18</f>
        <v>#N/A</v>
      </c>
      <c r="D221" s="1390">
        <f ca="1">'8TB'!F19</f>
        <v>0</v>
      </c>
      <c r="E221" s="1395"/>
      <c r="G221" s="1374"/>
    </row>
    <row r="222" spans="2:7" s="1211" customFormat="1" hidden="1">
      <c r="B222" s="1388"/>
      <c r="C222" s="1389" t="e">
        <f ca="1">'8TB'!D19&amp;": "&amp;'8TB'!F19&amp;" "&amp;'8TB'!E19</f>
        <v>#N/A</v>
      </c>
      <c r="D222" s="1390">
        <f ca="1">'8TB'!F20</f>
        <v>0</v>
      </c>
      <c r="E222" s="1395"/>
      <c r="G222" s="1374"/>
    </row>
    <row r="223" spans="2:7" s="1211" customFormat="1">
      <c r="B223" s="1388"/>
      <c r="C223" s="1389" t="e">
        <f ca="1">'8TB'!D20&amp;": "&amp;'8TB'!F20&amp;" "&amp;'8TB'!E20</f>
        <v>#N/A</v>
      </c>
      <c r="D223" s="1390">
        <f ca="1">'8TB'!F21</f>
        <v>0</v>
      </c>
      <c r="E223" s="1395"/>
      <c r="G223" s="1374"/>
    </row>
    <row r="224" spans="2:7" s="1211" customFormat="1">
      <c r="B224" s="1388"/>
      <c r="C224" s="1389" t="e">
        <f ca="1">'8TB'!D21&amp;": "&amp;'8TB'!F21&amp;" "&amp;'8TB'!E21</f>
        <v>#N/A</v>
      </c>
      <c r="D224" s="1390">
        <f ca="1">'8TB'!F22</f>
        <v>0</v>
      </c>
      <c r="E224" s="1395"/>
      <c r="G224" s="1374"/>
    </row>
    <row r="225" spans="2:7" s="1211" customFormat="1" hidden="1">
      <c r="B225" s="1388"/>
      <c r="C225" s="1389" t="e">
        <f ca="1">'8TB'!D22&amp;": "&amp;'8TB'!F22&amp;" "&amp;'8TB'!E22</f>
        <v>#N/A</v>
      </c>
      <c r="D225" s="1390">
        <f ca="1">'8TB'!F23</f>
        <v>0</v>
      </c>
      <c r="E225" s="1395"/>
      <c r="G225" s="1374"/>
    </row>
    <row r="226" spans="2:7" s="1211" customFormat="1" hidden="1">
      <c r="B226" s="1388"/>
      <c r="C226" s="1389" t="e">
        <f ca="1">'8TB'!D23&amp;": "&amp;'8TB'!F23&amp;" "&amp;'8TB'!E23</f>
        <v>#N/A</v>
      </c>
      <c r="D226" s="1390">
        <f ca="1">'8TB'!F24</f>
        <v>0</v>
      </c>
      <c r="E226" s="1395"/>
      <c r="G226" s="1374"/>
    </row>
    <row r="227" spans="2:7" s="1211" customFormat="1" hidden="1">
      <c r="B227" s="1388"/>
      <c r="C227" s="1389" t="e">
        <f ca="1">'8TB'!D24&amp;": "&amp;'8TB'!F24&amp;" "&amp;'8TB'!E24</f>
        <v>#N/A</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4523</v>
      </c>
      <c r="D233" s="1390" t="s">
        <v>512</v>
      </c>
      <c r="E233" s="1391"/>
    </row>
    <row r="234" spans="2:7">
      <c r="B234" s="1388"/>
      <c r="C234" s="1392" t="str">
        <f>'9TD'!D18</f>
        <v>Bộ tiếp địa Trạm 3 pha: 1 Bộ</v>
      </c>
      <c r="D234" s="1390">
        <f>'9TD'!J18</f>
        <v>1</v>
      </c>
      <c r="E234" s="1391"/>
    </row>
    <row r="235" spans="2:7" ht="33.6"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4527</v>
      </c>
      <c r="D257" s="1390"/>
      <c r="E257" s="1391"/>
      <c r="G257" s="1374"/>
    </row>
    <row r="258" spans="2:7" ht="33.6">
      <c r="B258" s="1388">
        <f>B233</f>
        <v>43876</v>
      </c>
      <c r="C258" s="1389" t="s">
        <v>4524</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4528</v>
      </c>
      <c r="D275" s="1398"/>
      <c r="E275" s="1399"/>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67" t="s">
        <v>4600</v>
      </c>
      <c r="B1" s="3267"/>
      <c r="C1" s="3267"/>
      <c r="D1" s="3267"/>
      <c r="E1" s="3267"/>
      <c r="F1" s="3267"/>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0</v>
      </c>
      <c r="B3" s="1306" t="e">
        <f>'NT-VT'!C6</f>
        <v>#N/A</v>
      </c>
      <c r="C3" s="1307">
        <f>'NT-VT'!D6</f>
        <v>0</v>
      </c>
      <c r="D3" s="1308">
        <f>'NT-VT'!E6</f>
        <v>0</v>
      </c>
      <c r="E3" s="1305" t="str">
        <f>'NT-VT'!F6</f>
        <v/>
      </c>
      <c r="F3" s="1305" t="str">
        <f>'NT-VT'!G6</f>
        <v/>
      </c>
      <c r="G3" s="831">
        <f>IF(D3&gt;0,1,0)</f>
        <v>0</v>
      </c>
      <c r="H3" s="845"/>
      <c r="I3" s="821"/>
    </row>
    <row r="4" spans="1:9" ht="35.1" customHeight="1">
      <c r="A4" s="1305">
        <f>SUM($G$3:G4)</f>
        <v>0</v>
      </c>
      <c r="B4" s="1306" t="e">
        <f>'NT-VT'!C7</f>
        <v>#N/A</v>
      </c>
      <c r="C4" s="1307">
        <f>'NT-VT'!D7</f>
        <v>0</v>
      </c>
      <c r="D4" s="1308">
        <f>'NT-VT'!E7</f>
        <v>0</v>
      </c>
      <c r="E4" s="1305" t="str">
        <f>'NT-VT'!F7</f>
        <v/>
      </c>
      <c r="F4" s="1305" t="str">
        <f>'NT-VT'!G7</f>
        <v/>
      </c>
      <c r="G4" s="831">
        <f t="shared" ref="G4:G67" si="0">IF(D4&gt;0,1,0)</f>
        <v>0</v>
      </c>
      <c r="H4" s="846"/>
    </row>
    <row r="5" spans="1:9" ht="35.1" customHeight="1">
      <c r="A5" s="1305">
        <f>SUM($G$3:G5)</f>
        <v>0</v>
      </c>
      <c r="B5" s="1306" t="e">
        <f>'NT-VT'!C8</f>
        <v>#N/A</v>
      </c>
      <c r="C5" s="1307">
        <f>'NT-VT'!D8</f>
        <v>0</v>
      </c>
      <c r="D5" s="1308">
        <f>'NT-VT'!E8</f>
        <v>0</v>
      </c>
      <c r="E5" s="1305" t="str">
        <f>'NT-VT'!F8</f>
        <v/>
      </c>
      <c r="F5" s="1305" t="str">
        <f>'NT-VT'!G8</f>
        <v/>
      </c>
      <c r="G5" s="831">
        <f t="shared" si="0"/>
        <v>0</v>
      </c>
      <c r="H5" s="846"/>
    </row>
    <row r="6" spans="1:9" ht="35.1" customHeight="1">
      <c r="A6" s="1305">
        <f>SUM($G$3:G6)</f>
        <v>0</v>
      </c>
      <c r="B6" s="1306" t="e">
        <f>'NT-VT'!C9</f>
        <v>#N/A</v>
      </c>
      <c r="C6" s="1307">
        <f>'NT-VT'!D9</f>
        <v>0</v>
      </c>
      <c r="D6" s="1308">
        <f>'NT-VT'!E9</f>
        <v>0</v>
      </c>
      <c r="E6" s="1305" t="str">
        <f>'NT-VT'!F9</f>
        <v/>
      </c>
      <c r="F6" s="1305" t="str">
        <f>'NT-VT'!G9</f>
        <v/>
      </c>
      <c r="G6" s="831">
        <f t="shared" si="0"/>
        <v>0</v>
      </c>
      <c r="H6" s="846"/>
    </row>
    <row r="7" spans="1:9" ht="35.1" customHeight="1">
      <c r="A7" s="1305">
        <f>SUM($G$3:G7)</f>
        <v>0</v>
      </c>
      <c r="B7" s="1306" t="e">
        <f>'NT-VT'!C10</f>
        <v>#N/A</v>
      </c>
      <c r="C7" s="1307">
        <f>'NT-VT'!D10</f>
        <v>0</v>
      </c>
      <c r="D7" s="1308">
        <f>'NT-VT'!E10</f>
        <v>0</v>
      </c>
      <c r="E7" s="1305" t="str">
        <f>'NT-VT'!F10</f>
        <v/>
      </c>
      <c r="F7" s="1305" t="str">
        <f>'NT-VT'!G10</f>
        <v/>
      </c>
      <c r="G7" s="831">
        <f t="shared" si="0"/>
        <v>0</v>
      </c>
      <c r="H7" s="845"/>
      <c r="I7" s="821"/>
    </row>
    <row r="8" spans="1:9" ht="35.1" customHeight="1">
      <c r="A8" s="1305">
        <f>SUM($G$3:G8)</f>
        <v>0</v>
      </c>
      <c r="B8" s="1306" t="e">
        <f>'NT-VT'!C11</f>
        <v>#N/A</v>
      </c>
      <c r="C8" s="1307">
        <f>'NT-VT'!D11</f>
        <v>0</v>
      </c>
      <c r="D8" s="1308">
        <f>'NT-VT'!E11</f>
        <v>0</v>
      </c>
      <c r="E8" s="1305" t="str">
        <f>'NT-VT'!F11</f>
        <v/>
      </c>
      <c r="F8" s="1305" t="str">
        <f>'NT-VT'!G11</f>
        <v/>
      </c>
      <c r="G8" s="831">
        <f t="shared" si="0"/>
        <v>0</v>
      </c>
      <c r="H8" s="845"/>
      <c r="I8" s="821"/>
    </row>
    <row r="9" spans="1:9" ht="35.1" customHeight="1">
      <c r="A9" s="1305">
        <f>SUM($G$3:G9)</f>
        <v>0</v>
      </c>
      <c r="B9" s="1306" t="e">
        <f>'NT-VT'!C12</f>
        <v>#N/A</v>
      </c>
      <c r="C9" s="1307">
        <f>'NT-VT'!D12</f>
        <v>0</v>
      </c>
      <c r="D9" s="1308">
        <f>'NT-VT'!E12</f>
        <v>0</v>
      </c>
      <c r="E9" s="1305" t="str">
        <f>'NT-VT'!F13</f>
        <v/>
      </c>
      <c r="F9" s="1305" t="str">
        <f>'NT-VT'!G13</f>
        <v/>
      </c>
      <c r="G9" s="831">
        <f t="shared" si="0"/>
        <v>0</v>
      </c>
      <c r="H9" s="845"/>
      <c r="I9" s="821"/>
    </row>
    <row r="10" spans="1:9" ht="35.1" customHeight="1">
      <c r="A10" s="1305">
        <f>SUM($G$3:G10)</f>
        <v>0</v>
      </c>
      <c r="B10" s="1306" t="e">
        <f>'NT-VT'!C13</f>
        <v>#N/A</v>
      </c>
      <c r="C10" s="1307">
        <f>'NT-VT'!D13</f>
        <v>0</v>
      </c>
      <c r="D10" s="1308">
        <f>'NT-VT'!E13</f>
        <v>0</v>
      </c>
      <c r="E10" s="1305" t="str">
        <f>'NT-VT'!F14</f>
        <v/>
      </c>
      <c r="F10" s="1305" t="str">
        <f>'NT-VT'!G14</f>
        <v/>
      </c>
      <c r="G10" s="831">
        <f t="shared" si="0"/>
        <v>0</v>
      </c>
      <c r="H10" s="845"/>
      <c r="I10" s="821"/>
    </row>
    <row r="11" spans="1:9" ht="35.1" customHeight="1">
      <c r="A11" s="1305">
        <f>SUM($G$3:G11)</f>
        <v>0</v>
      </c>
      <c r="B11" s="1306" t="e">
        <f>'NT-VT'!C14</f>
        <v>#N/A</v>
      </c>
      <c r="C11" s="1307">
        <f>'NT-VT'!D14</f>
        <v>0</v>
      </c>
      <c r="D11" s="1308">
        <f>'NT-VT'!E14</f>
        <v>0</v>
      </c>
      <c r="E11" s="1305" t="str">
        <f>'NT-VT'!F15</f>
        <v/>
      </c>
      <c r="F11" s="1305" t="str">
        <f>'NT-VT'!G15</f>
        <v/>
      </c>
      <c r="G11" s="831">
        <f t="shared" si="0"/>
        <v>0</v>
      </c>
      <c r="H11" s="846"/>
    </row>
    <row r="12" spans="1:9" ht="35.1" customHeight="1">
      <c r="A12" s="1305">
        <f>SUM($G$3:G12)</f>
        <v>0</v>
      </c>
      <c r="B12" s="1306" t="e">
        <f>'NT-VT'!C15</f>
        <v>#N/A</v>
      </c>
      <c r="C12" s="1307">
        <f>'NT-VT'!D15</f>
        <v>0</v>
      </c>
      <c r="D12" s="1308">
        <f>'NT-VT'!E15</f>
        <v>0</v>
      </c>
      <c r="E12" s="1305" t="str">
        <f>'NT-VT'!F16</f>
        <v/>
      </c>
      <c r="F12" s="1305" t="str">
        <f>'NT-VT'!G16</f>
        <v/>
      </c>
      <c r="G12" s="831">
        <f t="shared" si="0"/>
        <v>0</v>
      </c>
      <c r="H12" s="845"/>
      <c r="I12" s="821"/>
    </row>
    <row r="13" spans="1:9" ht="35.1" customHeight="1">
      <c r="A13" s="1305">
        <f>SUM($G$3:G13)</f>
        <v>0</v>
      </c>
      <c r="B13" s="1306" t="e">
        <f>'NT-VT'!C16</f>
        <v>#N/A</v>
      </c>
      <c r="C13" s="1307">
        <f>'NT-VT'!D16</f>
        <v>0</v>
      </c>
      <c r="D13" s="1308">
        <f>'NT-VT'!E16</f>
        <v>0</v>
      </c>
      <c r="E13" s="1305" t="str">
        <f>'NT-VT'!F17</f>
        <v/>
      </c>
      <c r="F13" s="1305" t="str">
        <f>'NT-VT'!G17</f>
        <v/>
      </c>
      <c r="G13" s="831">
        <f t="shared" si="0"/>
        <v>0</v>
      </c>
      <c r="H13" s="845"/>
      <c r="I13" s="821"/>
    </row>
    <row r="14" spans="1:9" ht="35.1" customHeight="1">
      <c r="A14" s="1305">
        <f>SUM($G$3:G14)</f>
        <v>0</v>
      </c>
      <c r="B14" s="1306" t="e">
        <f>'NT-VT'!C17</f>
        <v>#N/A</v>
      </c>
      <c r="C14" s="1307">
        <f>'NT-VT'!D17</f>
        <v>0</v>
      </c>
      <c r="D14" s="1308">
        <f>'NT-VT'!E17</f>
        <v>0</v>
      </c>
      <c r="E14" s="1305" t="str">
        <f>'NT-VT'!F18</f>
        <v/>
      </c>
      <c r="F14" s="1305" t="str">
        <f>'NT-VT'!G18</f>
        <v/>
      </c>
      <c r="G14" s="831">
        <f t="shared" si="0"/>
        <v>0</v>
      </c>
      <c r="H14" s="845"/>
      <c r="I14" s="821"/>
    </row>
    <row r="15" spans="1:9" ht="35.1" customHeight="1">
      <c r="A15" s="1305">
        <f>SUM($G$3:G15)</f>
        <v>0</v>
      </c>
      <c r="B15" s="1306" t="e">
        <f>'NT-VT'!C18</f>
        <v>#N/A</v>
      </c>
      <c r="C15" s="1307">
        <f>'NT-VT'!D18</f>
        <v>0</v>
      </c>
      <c r="D15" s="1308">
        <f>'NT-VT'!E18</f>
        <v>0</v>
      </c>
      <c r="E15" s="1305" t="str">
        <f>'NT-VT'!F19</f>
        <v/>
      </c>
      <c r="F15" s="1305" t="str">
        <f>'NT-VT'!G19</f>
        <v/>
      </c>
      <c r="G15" s="831">
        <f t="shared" si="0"/>
        <v>0</v>
      </c>
      <c r="H15" s="845"/>
      <c r="I15" s="821"/>
    </row>
    <row r="16" spans="1:9" ht="35.1" customHeight="1">
      <c r="A16" s="1305">
        <f>SUM($G$3:G16)</f>
        <v>0</v>
      </c>
      <c r="B16" s="1306" t="e">
        <f>'NT-VT'!C19</f>
        <v>#N/A</v>
      </c>
      <c r="C16" s="1307">
        <f>'NT-VT'!D19</f>
        <v>0</v>
      </c>
      <c r="D16" s="1308">
        <f>'NT-VT'!E19</f>
        <v>0</v>
      </c>
      <c r="E16" s="1305" t="str">
        <f>'NT-VT'!F20</f>
        <v/>
      </c>
      <c r="F16" s="1305" t="str">
        <f>'NT-VT'!G20</f>
        <v/>
      </c>
      <c r="G16" s="831">
        <f t="shared" si="0"/>
        <v>0</v>
      </c>
      <c r="H16" s="845"/>
      <c r="I16" s="821"/>
    </row>
    <row r="17" spans="1:9" ht="35.1" customHeight="1">
      <c r="A17" s="1305">
        <f>SUM($G$3:G17)</f>
        <v>0</v>
      </c>
      <c r="B17" s="1306" t="e">
        <f>'NT-VT'!C20</f>
        <v>#N/A</v>
      </c>
      <c r="C17" s="1307">
        <f>'NT-VT'!D20</f>
        <v>0</v>
      </c>
      <c r="D17" s="1308">
        <f>'NT-VT'!E20</f>
        <v>0</v>
      </c>
      <c r="E17" s="1305" t="str">
        <f>'NT-VT'!F21</f>
        <v/>
      </c>
      <c r="F17" s="1305" t="str">
        <f>'NT-VT'!G21</f>
        <v/>
      </c>
      <c r="G17" s="831">
        <f t="shared" si="0"/>
        <v>0</v>
      </c>
      <c r="H17" s="845"/>
      <c r="I17" s="847"/>
    </row>
    <row r="18" spans="1:9" ht="35.1" customHeight="1">
      <c r="A18" s="1305">
        <f>SUM($G$3:G18)</f>
        <v>0</v>
      </c>
      <c r="B18" s="1306" t="e">
        <f>'NT-VT'!C21</f>
        <v>#N/A</v>
      </c>
      <c r="C18" s="1307">
        <f>'NT-VT'!D21</f>
        <v>0</v>
      </c>
      <c r="D18" s="1308">
        <f>'NT-VT'!E21</f>
        <v>0</v>
      </c>
      <c r="E18" s="1305" t="str">
        <f>'NT-VT'!F22</f>
        <v/>
      </c>
      <c r="F18" s="1305" t="str">
        <f>'NT-VT'!G22</f>
        <v/>
      </c>
      <c r="G18" s="831">
        <f t="shared" si="0"/>
        <v>0</v>
      </c>
      <c r="H18" s="845"/>
      <c r="I18" s="847"/>
    </row>
    <row r="19" spans="1:9" ht="35.1" customHeight="1">
      <c r="A19" s="1305">
        <f>SUM($G$3:G19)</f>
        <v>0</v>
      </c>
      <c r="B19" s="1306" t="e">
        <f>'NT-VT'!C22</f>
        <v>#N/A</v>
      </c>
      <c r="C19" s="1307">
        <f>'NT-VT'!D22</f>
        <v>0</v>
      </c>
      <c r="D19" s="1308">
        <f>'NT-VT'!E22</f>
        <v>0</v>
      </c>
      <c r="E19" s="1305" t="str">
        <f>'NT-VT'!F23</f>
        <v/>
      </c>
      <c r="F19" s="1305" t="str">
        <f>'NT-VT'!G23</f>
        <v/>
      </c>
      <c r="G19" s="831">
        <f t="shared" si="0"/>
        <v>0</v>
      </c>
      <c r="H19" s="845"/>
      <c r="I19" s="847"/>
    </row>
    <row r="20" spans="1:9" ht="35.1" customHeight="1">
      <c r="A20" s="1305">
        <f>SUM($G$3:G20)</f>
        <v>0</v>
      </c>
      <c r="B20" s="1306" t="e">
        <f>'NT-VT'!C23</f>
        <v>#N/A</v>
      </c>
      <c r="C20" s="1307">
        <f>'NT-VT'!D23</f>
        <v>0</v>
      </c>
      <c r="D20" s="1308">
        <f>'NT-VT'!E23</f>
        <v>0</v>
      </c>
      <c r="E20" s="1305" t="str">
        <f>'NT-VT'!F24</f>
        <v/>
      </c>
      <c r="F20" s="1305" t="str">
        <f>'NT-VT'!G24</f>
        <v/>
      </c>
      <c r="G20" s="831">
        <f t="shared" si="0"/>
        <v>0</v>
      </c>
      <c r="H20" s="846"/>
    </row>
    <row r="21" spans="1:9" ht="35.1" customHeight="1">
      <c r="A21" s="1305">
        <f>SUM($G$3:G21)</f>
        <v>0</v>
      </c>
      <c r="B21" s="1306" t="e">
        <f>'NT-VT'!C24</f>
        <v>#N/A</v>
      </c>
      <c r="C21" s="1307">
        <f>'NT-VT'!D24</f>
        <v>0</v>
      </c>
      <c r="D21" s="1308">
        <f>'NT-VT'!E24</f>
        <v>0</v>
      </c>
      <c r="E21" s="1305" t="str">
        <f>'NT-VT'!F25</f>
        <v/>
      </c>
      <c r="F21" s="1305" t="str">
        <f>'NT-VT'!G25</f>
        <v/>
      </c>
      <c r="G21" s="831">
        <f t="shared" si="0"/>
        <v>0</v>
      </c>
      <c r="H21" s="845"/>
      <c r="I21" s="821"/>
    </row>
    <row r="22" spans="1:9" ht="35.1" customHeight="1">
      <c r="A22" s="1305">
        <f>SUM($G$3:G22)</f>
        <v>0</v>
      </c>
      <c r="B22" s="1306" t="e">
        <f>'NT-VT'!C25</f>
        <v>#N/A</v>
      </c>
      <c r="C22" s="1307">
        <f>'NT-VT'!D25</f>
        <v>0</v>
      </c>
      <c r="D22" s="1308">
        <f>'NT-VT'!E25</f>
        <v>0</v>
      </c>
      <c r="E22" s="1305" t="str">
        <f>'NT-VT'!F26</f>
        <v/>
      </c>
      <c r="F22" s="1305" t="str">
        <f>'NT-VT'!G26</f>
        <v/>
      </c>
      <c r="G22" s="831">
        <f t="shared" si="0"/>
        <v>0</v>
      </c>
      <c r="H22" s="845"/>
      <c r="I22" s="821"/>
    </row>
    <row r="23" spans="1:9" ht="35.1" customHeight="1">
      <c r="A23" s="1305">
        <f>SUM($G$3:G23)</f>
        <v>0</v>
      </c>
      <c r="B23" s="1306" t="e">
        <f>'NT-VT'!C26</f>
        <v>#N/A</v>
      </c>
      <c r="C23" s="1307">
        <f>'NT-VT'!D26</f>
        <v>0</v>
      </c>
      <c r="D23" s="1308">
        <f>'NT-VT'!E26</f>
        <v>0</v>
      </c>
      <c r="E23" s="1305" t="str">
        <f>'NT-VT'!F27</f>
        <v/>
      </c>
      <c r="F23" s="1305" t="str">
        <f>'NT-VT'!G27</f>
        <v/>
      </c>
      <c r="G23" s="831">
        <f t="shared" si="0"/>
        <v>0</v>
      </c>
      <c r="H23" s="845"/>
      <c r="I23" s="847"/>
    </row>
    <row r="24" spans="1:9" ht="35.1" customHeight="1">
      <c r="A24" s="1305">
        <f>SUM($G$3:G24)</f>
        <v>0</v>
      </c>
      <c r="B24" s="1306" t="e">
        <f>'NT-VT'!C27</f>
        <v>#N/A</v>
      </c>
      <c r="C24" s="1307">
        <f>'NT-VT'!D27</f>
        <v>0</v>
      </c>
      <c r="D24" s="1308">
        <f>'NT-VT'!E27</f>
        <v>0</v>
      </c>
      <c r="E24" s="1305" t="str">
        <f>'NT-VT'!F28</f>
        <v/>
      </c>
      <c r="F24" s="1305" t="str">
        <f>'NT-VT'!G28</f>
        <v/>
      </c>
      <c r="G24" s="831">
        <f t="shared" si="0"/>
        <v>0</v>
      </c>
      <c r="H24" s="845"/>
      <c r="I24" s="847"/>
    </row>
    <row r="25" spans="1:9" ht="35.1" customHeight="1">
      <c r="A25" s="1305">
        <f>SUM($G$3:G25)</f>
        <v>0</v>
      </c>
      <c r="B25" s="1306" t="e">
        <f>'NT-VT'!C28</f>
        <v>#N/A</v>
      </c>
      <c r="C25" s="1307">
        <f>'NT-VT'!D28</f>
        <v>0</v>
      </c>
      <c r="D25" s="1308">
        <f>'NT-VT'!E28</f>
        <v>0</v>
      </c>
      <c r="E25" s="1305" t="str">
        <f>'NT-VT'!F29</f>
        <v/>
      </c>
      <c r="F25" s="1305" t="str">
        <f>'NT-VT'!G29</f>
        <v/>
      </c>
      <c r="G25" s="831">
        <f t="shared" si="0"/>
        <v>0</v>
      </c>
      <c r="H25" s="845"/>
      <c r="I25" s="821"/>
    </row>
    <row r="26" spans="1:9" ht="35.1" customHeight="1">
      <c r="A26" s="1305">
        <f>SUM($G$3:G26)</f>
        <v>0</v>
      </c>
      <c r="B26" s="1306" t="e">
        <f>'NT-VT'!C29</f>
        <v>#N/A</v>
      </c>
      <c r="C26" s="1307">
        <f>'NT-VT'!D29</f>
        <v>0</v>
      </c>
      <c r="D26" s="1308">
        <f>'NT-VT'!E29</f>
        <v>0</v>
      </c>
      <c r="E26" s="1305" t="str">
        <f>'NT-VT'!F30</f>
        <v/>
      </c>
      <c r="F26" s="1305" t="str">
        <f>'NT-VT'!G30</f>
        <v/>
      </c>
      <c r="G26" s="831">
        <f t="shared" si="0"/>
        <v>0</v>
      </c>
      <c r="H26" s="845"/>
      <c r="I26" s="821"/>
    </row>
    <row r="27" spans="1:9" ht="35.1" customHeight="1">
      <c r="A27" s="1305">
        <f>SUM($G$3:G27)</f>
        <v>0</v>
      </c>
      <c r="B27" s="1306" t="e">
        <f>'NT-VT'!C30</f>
        <v>#N/A</v>
      </c>
      <c r="C27" s="1307">
        <f>'NT-VT'!D30</f>
        <v>0</v>
      </c>
      <c r="D27" s="1308">
        <f>'NT-VT'!E30</f>
        <v>0</v>
      </c>
      <c r="E27" s="1305" t="str">
        <f>'NT-VT'!F31</f>
        <v/>
      </c>
      <c r="F27" s="1305" t="str">
        <f>'NT-VT'!G31</f>
        <v/>
      </c>
      <c r="G27" s="831">
        <f t="shared" si="0"/>
        <v>0</v>
      </c>
      <c r="H27" s="845"/>
      <c r="I27" s="821"/>
    </row>
    <row r="28" spans="1:9" ht="35.1" customHeight="1">
      <c r="A28" s="1305">
        <f>SUM($G$3:G28)</f>
        <v>0</v>
      </c>
      <c r="B28" s="1306" t="e">
        <f>'NT-VT'!C31</f>
        <v>#N/A</v>
      </c>
      <c r="C28" s="1307">
        <f>'NT-VT'!D31</f>
        <v>0</v>
      </c>
      <c r="D28" s="1308">
        <f>'NT-VT'!E31</f>
        <v>0</v>
      </c>
      <c r="E28" s="1305" t="str">
        <f>'NT-VT'!F32</f>
        <v/>
      </c>
      <c r="F28" s="1305" t="str">
        <f>'NT-VT'!G32</f>
        <v/>
      </c>
      <c r="G28" s="831">
        <f t="shared" si="0"/>
        <v>0</v>
      </c>
      <c r="H28" s="845"/>
      <c r="I28" s="821"/>
    </row>
    <row r="29" spans="1:9" ht="35.1" customHeight="1">
      <c r="A29" s="1305">
        <f>SUM($G$3:G29)</f>
        <v>0</v>
      </c>
      <c r="B29" s="1306" t="e">
        <f>'NT-VT'!C32</f>
        <v>#N/A</v>
      </c>
      <c r="C29" s="1307">
        <f>'NT-VT'!D32</f>
        <v>0</v>
      </c>
      <c r="D29" s="1308">
        <f>'NT-VT'!E32</f>
        <v>0</v>
      </c>
      <c r="E29" s="1305" t="str">
        <f>'NT-VT'!F33</f>
        <v/>
      </c>
      <c r="F29" s="1305" t="str">
        <f>'NT-VT'!G33</f>
        <v/>
      </c>
      <c r="G29" s="831">
        <f t="shared" si="0"/>
        <v>0</v>
      </c>
      <c r="H29" s="845"/>
      <c r="I29" s="847"/>
    </row>
    <row r="30" spans="1:9" ht="35.1" customHeight="1">
      <c r="A30" s="1305">
        <f>SUM($G$3:G30)</f>
        <v>0</v>
      </c>
      <c r="B30" s="1306" t="e">
        <f>'NT-VT'!C33</f>
        <v>#N/A</v>
      </c>
      <c r="C30" s="1307">
        <f>'NT-VT'!D33</f>
        <v>0</v>
      </c>
      <c r="D30" s="1308">
        <f>'NT-VT'!E33</f>
        <v>0</v>
      </c>
      <c r="E30" s="1305" t="str">
        <f>'NT-VT'!F34</f>
        <v/>
      </c>
      <c r="F30" s="1305" t="str">
        <f>'NT-VT'!G34</f>
        <v/>
      </c>
      <c r="G30" s="831">
        <f t="shared" si="0"/>
        <v>0</v>
      </c>
      <c r="H30" s="846"/>
    </row>
    <row r="31" spans="1:9" ht="35.1" customHeight="1">
      <c r="A31" s="1305">
        <f>SUM($G$3:G31)</f>
        <v>0</v>
      </c>
      <c r="B31" s="1306" t="e">
        <f>'NT-VT'!C34</f>
        <v>#N/A</v>
      </c>
      <c r="C31" s="1307">
        <f>'NT-VT'!D34</f>
        <v>0</v>
      </c>
      <c r="D31" s="1308">
        <f>'NT-VT'!E34</f>
        <v>0</v>
      </c>
      <c r="E31" s="1305" t="str">
        <f>'NT-VT'!F35</f>
        <v/>
      </c>
      <c r="F31" s="1305" t="str">
        <f>'NT-VT'!G35</f>
        <v/>
      </c>
      <c r="G31" s="831">
        <f t="shared" si="0"/>
        <v>0</v>
      </c>
      <c r="H31" s="845"/>
      <c r="I31" s="847"/>
    </row>
    <row r="32" spans="1:9" ht="35.1" customHeight="1">
      <c r="A32" s="1305">
        <f>SUM($G$3:G32)</f>
        <v>0</v>
      </c>
      <c r="B32" s="1306" t="e">
        <f>'NT-VT'!C35</f>
        <v>#N/A</v>
      </c>
      <c r="C32" s="1307">
        <f>'NT-VT'!D35</f>
        <v>0</v>
      </c>
      <c r="D32" s="1308">
        <f>'NT-VT'!E35</f>
        <v>0</v>
      </c>
      <c r="E32" s="1305" t="str">
        <f>'NT-VT'!F36</f>
        <v/>
      </c>
      <c r="F32" s="1305" t="str">
        <f>'NT-VT'!G36</f>
        <v/>
      </c>
      <c r="G32" s="831">
        <f t="shared" si="0"/>
        <v>0</v>
      </c>
      <c r="H32" s="845"/>
      <c r="I32" s="847"/>
    </row>
    <row r="33" spans="1:9" ht="35.1" customHeight="1">
      <c r="A33" s="1305">
        <f>SUM($G$3:G33)</f>
        <v>0</v>
      </c>
      <c r="B33" s="1306" t="e">
        <f>'NT-VT'!C36</f>
        <v>#N/A</v>
      </c>
      <c r="C33" s="1307">
        <f>'NT-VT'!D36</f>
        <v>0</v>
      </c>
      <c r="D33" s="1308">
        <f>'NT-VT'!E36</f>
        <v>0</v>
      </c>
      <c r="E33" s="1305" t="str">
        <f>'NT-VT'!F37</f>
        <v/>
      </c>
      <c r="F33" s="1305" t="str">
        <f>'NT-VT'!G37</f>
        <v/>
      </c>
      <c r="G33" s="831">
        <f t="shared" si="0"/>
        <v>0</v>
      </c>
      <c r="H33" s="846"/>
    </row>
    <row r="34" spans="1:9" ht="35.1" customHeight="1">
      <c r="A34" s="1305">
        <f>SUM($G$3:G34)</f>
        <v>0</v>
      </c>
      <c r="B34" s="1306" t="e">
        <f>'NT-VT'!C37</f>
        <v>#N/A</v>
      </c>
      <c r="C34" s="1307">
        <f>'NT-VT'!D37</f>
        <v>0</v>
      </c>
      <c r="D34" s="1308">
        <f>'NT-VT'!E37</f>
        <v>0</v>
      </c>
      <c r="E34" s="1305" t="str">
        <f>'NT-VT'!F38</f>
        <v/>
      </c>
      <c r="F34" s="1305" t="str">
        <f>'NT-VT'!G38</f>
        <v/>
      </c>
      <c r="G34" s="831">
        <f t="shared" si="0"/>
        <v>0</v>
      </c>
      <c r="H34" s="845"/>
      <c r="I34" s="847"/>
    </row>
    <row r="35" spans="1:9" ht="35.1" customHeight="1">
      <c r="A35" s="1305">
        <f>SUM($G$3:G35)</f>
        <v>0</v>
      </c>
      <c r="B35" s="1306" t="e">
        <f>'NT-VT'!C38</f>
        <v>#N/A</v>
      </c>
      <c r="C35" s="1307">
        <f>'NT-VT'!D38</f>
        <v>0</v>
      </c>
      <c r="D35" s="1308">
        <f>'NT-VT'!E38</f>
        <v>0</v>
      </c>
      <c r="E35" s="1305" t="str">
        <f>'NT-VT'!F39</f>
        <v/>
      </c>
      <c r="F35" s="1305" t="str">
        <f>'NT-VT'!G39</f>
        <v/>
      </c>
      <c r="G35" s="831">
        <f t="shared" si="0"/>
        <v>0</v>
      </c>
      <c r="H35" s="845"/>
      <c r="I35" s="847"/>
    </row>
    <row r="36" spans="1:9" ht="35.1" customHeight="1">
      <c r="A36" s="1305">
        <f>SUM($G$3:G36)</f>
        <v>0</v>
      </c>
      <c r="B36" s="1306" t="e">
        <f>'NT-VT'!C39</f>
        <v>#N/A</v>
      </c>
      <c r="C36" s="1307">
        <f>'NT-VT'!D39</f>
        <v>0</v>
      </c>
      <c r="D36" s="1308">
        <f>'NT-VT'!E39</f>
        <v>0</v>
      </c>
      <c r="E36" s="1305" t="str">
        <f>'NT-VT'!F40</f>
        <v/>
      </c>
      <c r="F36" s="1305" t="str">
        <f>'NT-VT'!G40</f>
        <v/>
      </c>
      <c r="G36" s="831">
        <f t="shared" si="0"/>
        <v>0</v>
      </c>
      <c r="H36" s="845"/>
      <c r="I36" s="847"/>
    </row>
    <row r="37" spans="1:9" ht="35.1" customHeight="1">
      <c r="A37" s="1305">
        <f>SUM($G$3:G37)</f>
        <v>0</v>
      </c>
      <c r="B37" s="1306" t="e">
        <f>'NT-VT'!C40</f>
        <v>#N/A</v>
      </c>
      <c r="C37" s="1307">
        <f>'NT-VT'!D40</f>
        <v>0</v>
      </c>
      <c r="D37" s="1308">
        <f>'NT-VT'!E40</f>
        <v>0</v>
      </c>
      <c r="E37" s="1305" t="str">
        <f>'NT-VT'!F41</f>
        <v/>
      </c>
      <c r="F37" s="1305" t="str">
        <f>'NT-VT'!G41</f>
        <v/>
      </c>
      <c r="G37" s="831">
        <f t="shared" si="0"/>
        <v>0</v>
      </c>
      <c r="H37" s="845"/>
      <c r="I37" s="847"/>
    </row>
    <row r="38" spans="1:9" ht="35.1" customHeight="1">
      <c r="A38" s="1305">
        <f>SUM($G$3:G38)</f>
        <v>0</v>
      </c>
      <c r="B38" s="1306" t="e">
        <f>'NT-VT'!C41</f>
        <v>#N/A</v>
      </c>
      <c r="C38" s="1307">
        <f>'NT-VT'!D41</f>
        <v>0</v>
      </c>
      <c r="D38" s="1308">
        <f>'NT-VT'!E41</f>
        <v>0</v>
      </c>
      <c r="E38" s="1305" t="str">
        <f>'NT-VT'!F42</f>
        <v/>
      </c>
      <c r="F38" s="1305" t="str">
        <f>'NT-VT'!G42</f>
        <v/>
      </c>
      <c r="G38" s="831">
        <f t="shared" si="0"/>
        <v>0</v>
      </c>
      <c r="H38" s="845"/>
      <c r="I38" s="821"/>
    </row>
    <row r="39" spans="1:9" ht="35.1" customHeight="1">
      <c r="A39" s="1305">
        <f>SUM($G$3:G39)</f>
        <v>0</v>
      </c>
      <c r="B39" s="1306" t="e">
        <f>'NT-VT'!C42</f>
        <v>#N/A</v>
      </c>
      <c r="C39" s="1307">
        <f>'NT-VT'!D42</f>
        <v>0</v>
      </c>
      <c r="D39" s="1308">
        <f>'NT-VT'!E42</f>
        <v>0</v>
      </c>
      <c r="E39" s="1305" t="str">
        <f>'NT-VT'!F43</f>
        <v/>
      </c>
      <c r="F39" s="1305" t="str">
        <f>'NT-VT'!G43</f>
        <v/>
      </c>
      <c r="G39" s="831">
        <f t="shared" si="0"/>
        <v>0</v>
      </c>
      <c r="H39" s="846"/>
    </row>
    <row r="40" spans="1:9" ht="35.1" customHeight="1">
      <c r="A40" s="1305">
        <f>SUM($G$3:G40)</f>
        <v>0</v>
      </c>
      <c r="B40" s="1306" t="e">
        <f>'NT-VT'!C43</f>
        <v>#N/A</v>
      </c>
      <c r="C40" s="1307">
        <f>'NT-VT'!D43</f>
        <v>0</v>
      </c>
      <c r="D40" s="1308">
        <f>'NT-VT'!E43</f>
        <v>0</v>
      </c>
      <c r="E40" s="1305" t="str">
        <f>'NT-VT'!F44</f>
        <v/>
      </c>
      <c r="F40" s="1305" t="str">
        <f>'NT-VT'!G44</f>
        <v/>
      </c>
      <c r="G40" s="831">
        <f t="shared" si="0"/>
        <v>0</v>
      </c>
      <c r="H40" s="846"/>
    </row>
    <row r="41" spans="1:9" ht="35.1" customHeight="1">
      <c r="A41" s="1305">
        <f>SUM($G$3:G41)</f>
        <v>0</v>
      </c>
      <c r="B41" s="1306" t="e">
        <f>'NT-VT'!C44</f>
        <v>#N/A</v>
      </c>
      <c r="C41" s="1307">
        <f>'NT-VT'!D44</f>
        <v>0</v>
      </c>
      <c r="D41" s="1308">
        <f>'NT-VT'!E44</f>
        <v>0</v>
      </c>
      <c r="E41" s="1305" t="str">
        <f>'NT-VT'!F45</f>
        <v/>
      </c>
      <c r="F41" s="1305" t="str">
        <f>'NT-VT'!G45</f>
        <v/>
      </c>
      <c r="G41" s="831">
        <f t="shared" si="0"/>
        <v>0</v>
      </c>
      <c r="H41" s="845"/>
      <c r="I41" s="847"/>
    </row>
    <row r="42" spans="1:9" ht="35.1" customHeight="1">
      <c r="A42" s="1305">
        <f>SUM($G$3:G42)</f>
        <v>0</v>
      </c>
      <c r="B42" s="1306" t="e">
        <f>'NT-VT'!C45</f>
        <v>#N/A</v>
      </c>
      <c r="C42" s="1307">
        <f>'NT-VT'!D45</f>
        <v>0</v>
      </c>
      <c r="D42" s="1308">
        <f>'NT-VT'!E45</f>
        <v>0</v>
      </c>
      <c r="E42" s="1305" t="str">
        <f>'NT-VT'!F46</f>
        <v/>
      </c>
      <c r="F42" s="1305" t="str">
        <f>'NT-VT'!G46</f>
        <v/>
      </c>
      <c r="G42" s="831">
        <f t="shared" si="0"/>
        <v>0</v>
      </c>
      <c r="H42" s="845"/>
      <c r="I42" s="821"/>
    </row>
    <row r="43" spans="1:9" ht="35.1" customHeight="1">
      <c r="A43" s="1305">
        <f>SUM($G$3:G43)</f>
        <v>0</v>
      </c>
      <c r="B43" s="1306" t="e">
        <f>'NT-VT'!C46</f>
        <v>#N/A</v>
      </c>
      <c r="C43" s="1307">
        <f>'NT-VT'!D46</f>
        <v>0</v>
      </c>
      <c r="D43" s="1308">
        <f>'NT-VT'!E46</f>
        <v>0</v>
      </c>
      <c r="E43" s="1305" t="str">
        <f>'NT-VT'!F47</f>
        <v/>
      </c>
      <c r="F43" s="1305" t="str">
        <f>'NT-VT'!G47</f>
        <v/>
      </c>
      <c r="G43" s="831">
        <f t="shared" si="0"/>
        <v>0</v>
      </c>
      <c r="H43" s="845"/>
      <c r="I43" s="847"/>
    </row>
    <row r="44" spans="1:9" ht="35.1" customHeight="1">
      <c r="A44" s="1305">
        <f>SUM($G$3:G44)</f>
        <v>0</v>
      </c>
      <c r="B44" s="1306" t="e">
        <f>'NT-VT'!C47</f>
        <v>#N/A</v>
      </c>
      <c r="C44" s="1307">
        <f>'NT-VT'!D47</f>
        <v>0</v>
      </c>
      <c r="D44" s="1308">
        <f>'NT-VT'!E47</f>
        <v>0</v>
      </c>
      <c r="E44" s="1305" t="str">
        <f>'NT-VT'!F48</f>
        <v/>
      </c>
      <c r="F44" s="1305" t="str">
        <f>'NT-VT'!G48</f>
        <v/>
      </c>
      <c r="G44" s="831">
        <f t="shared" si="0"/>
        <v>0</v>
      </c>
      <c r="H44" s="845"/>
      <c r="I44" s="821"/>
    </row>
    <row r="45" spans="1:9" ht="35.1" customHeight="1">
      <c r="A45" s="1305">
        <f>SUM($G$3:G45)</f>
        <v>0</v>
      </c>
      <c r="B45" s="1306" t="e">
        <f>'NT-VT'!C48</f>
        <v>#N/A</v>
      </c>
      <c r="C45" s="1307">
        <f>'NT-VT'!D48</f>
        <v>0</v>
      </c>
      <c r="D45" s="1308">
        <f>'NT-VT'!E48</f>
        <v>0</v>
      </c>
      <c r="E45" s="1305" t="str">
        <f>'NT-VT'!F49</f>
        <v/>
      </c>
      <c r="F45" s="1305" t="str">
        <f>'NT-VT'!G49</f>
        <v/>
      </c>
      <c r="G45" s="831">
        <f t="shared" si="0"/>
        <v>0</v>
      </c>
      <c r="H45" s="845"/>
      <c r="I45" s="821"/>
    </row>
    <row r="46" spans="1:9" ht="35.1" customHeight="1">
      <c r="A46" s="1305">
        <f>SUM($G$3:G46)</f>
        <v>0</v>
      </c>
      <c r="B46" s="1306" t="e">
        <f>'NT-VT'!C49</f>
        <v>#N/A</v>
      </c>
      <c r="C46" s="1307">
        <f>'NT-VT'!D49</f>
        <v>0</v>
      </c>
      <c r="D46" s="1308">
        <f>'NT-VT'!E49</f>
        <v>0</v>
      </c>
      <c r="E46" s="1305" t="str">
        <f>'NT-VT'!F50</f>
        <v/>
      </c>
      <c r="F46" s="1305" t="str">
        <f>'NT-VT'!G50</f>
        <v/>
      </c>
      <c r="G46" s="831">
        <f t="shared" si="0"/>
        <v>0</v>
      </c>
      <c r="H46" s="845"/>
      <c r="I46" s="821"/>
    </row>
    <row r="47" spans="1:9" ht="35.1" customHeight="1">
      <c r="A47" s="1305">
        <f>SUM($G$3:G47)</f>
        <v>0</v>
      </c>
      <c r="B47" s="1306" t="e">
        <f>'NT-VT'!C50</f>
        <v>#N/A</v>
      </c>
      <c r="C47" s="1307">
        <f>'NT-VT'!D50</f>
        <v>0</v>
      </c>
      <c r="D47" s="1308">
        <f>'NT-VT'!E50</f>
        <v>0</v>
      </c>
      <c r="E47" s="1305" t="str">
        <f>'NT-VT'!F51</f>
        <v/>
      </c>
      <c r="F47" s="1305" t="str">
        <f>'NT-VT'!G51</f>
        <v/>
      </c>
      <c r="G47" s="831">
        <f t="shared" si="0"/>
        <v>0</v>
      </c>
      <c r="H47" s="845"/>
      <c r="I47" s="821"/>
    </row>
    <row r="48" spans="1:9" ht="35.1" customHeight="1">
      <c r="A48" s="1305">
        <f>SUM($G$3:G48)</f>
        <v>0</v>
      </c>
      <c r="B48" s="1306" t="e">
        <f>'NT-VT'!C51</f>
        <v>#N/A</v>
      </c>
      <c r="C48" s="1307">
        <f>'NT-VT'!D51</f>
        <v>0</v>
      </c>
      <c r="D48" s="1308">
        <f>'NT-VT'!E51</f>
        <v>0</v>
      </c>
      <c r="E48" s="1305" t="str">
        <f>'NT-VT'!F52</f>
        <v/>
      </c>
      <c r="F48" s="1305" t="str">
        <f>'NT-VT'!G52</f>
        <v/>
      </c>
      <c r="G48" s="831">
        <f t="shared" si="0"/>
        <v>0</v>
      </c>
      <c r="H48" s="845"/>
      <c r="I48" s="821"/>
    </row>
    <row r="49" spans="1:9" ht="35.1" customHeight="1">
      <c r="A49" s="1305">
        <f>SUM($G$3:G49)</f>
        <v>0</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0</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0</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0</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0</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0</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0</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0</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0</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0</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0</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0</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0</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0</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0</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0</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0</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4491</v>
      </c>
      <c r="C94" s="1307"/>
      <c r="D94" s="1308"/>
      <c r="E94" s="1305" t="str">
        <f>'NT-VT'!F97</f>
        <v/>
      </c>
      <c r="F94" s="1305" t="str">
        <f>'NT-VT'!G97</f>
        <v/>
      </c>
      <c r="G94" s="831">
        <v>1</v>
      </c>
      <c r="H94" s="845"/>
      <c r="I94" s="821"/>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2020-09-21T14:48:01Z</dcterms:modified>
</cp:coreProperties>
</file>